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citações\2025\Editais\PMI\PC 003-2025 - PE 002-2025 - Coleta de lixo\"/>
    </mc:Choice>
  </mc:AlternateContent>
  <xr:revisionPtr revIDLastSave="0" documentId="8_{C7278CA4-3624-4ADD-9545-3D1B27B61483}" xr6:coauthVersionLast="47" xr6:coauthVersionMax="47" xr10:uidLastSave="{00000000-0000-0000-0000-000000000000}"/>
  <bookViews>
    <workbookView showHorizontalScroll="0" showVerticalScroll="0" showSheetTabs="0" xWindow="-16320" yWindow="-120" windowWidth="16440" windowHeight="28440" tabRatio="802" xr2:uid="{00000000-000D-0000-FFFF-FFFF00000000}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Domiciliar'!$A$1:$F$282</definedName>
    <definedName name="_xlnm.Print_Area" localSheetId="1">'2.Encargos Sociais'!$A$1:$C$39</definedName>
    <definedName name="_xlnm.Print_Titles" localSheetId="0">'1. Coleta Domiciliar'!$1:$8</definedName>
  </definedNames>
  <calcPr calcId="191029"/>
</workbook>
</file>

<file path=xl/calcChain.xml><?xml version="1.0" encoding="utf-8"?>
<calcChain xmlns="http://schemas.openxmlformats.org/spreadsheetml/2006/main">
  <c r="D84" i="2" l="1"/>
  <c r="E84" i="2" s="1"/>
  <c r="D83" i="2"/>
  <c r="E83" i="2" s="1"/>
  <c r="D59" i="2"/>
  <c r="E59" i="2" s="1"/>
  <c r="D58" i="2"/>
  <c r="E58" i="2" s="1"/>
  <c r="E57" i="2"/>
  <c r="D60" i="2" s="1"/>
  <c r="E60" i="2" s="1"/>
  <c r="E61" i="2" l="1"/>
  <c r="C21" i="9"/>
  <c r="C23" i="5" l="1"/>
  <c r="C202" i="2" l="1"/>
  <c r="C201" i="2"/>
  <c r="C203" i="2"/>
  <c r="A35" i="2" l="1"/>
  <c r="A34" i="2"/>
  <c r="A33" i="2"/>
  <c r="A25" i="2"/>
  <c r="A24" i="2"/>
  <c r="A16" i="2"/>
  <c r="C13" i="9" l="1"/>
  <c r="C14" i="9" s="1"/>
  <c r="C15" i="9" l="1"/>
  <c r="C17" i="9"/>
  <c r="C22" i="9" s="1"/>
  <c r="C24" i="9" s="1"/>
  <c r="C172" i="2"/>
  <c r="C177" i="2"/>
  <c r="E44" i="2" l="1"/>
  <c r="E43" i="2"/>
  <c r="E42" i="2"/>
  <c r="E41" i="2"/>
  <c r="E48" i="2"/>
  <c r="C196" i="2" l="1"/>
  <c r="C191" i="2"/>
  <c r="D221" i="2"/>
  <c r="D219" i="2"/>
  <c r="D217" i="2"/>
  <c r="D215" i="2"/>
  <c r="D151" i="2" l="1"/>
  <c r="E151" i="2" s="1"/>
  <c r="E135" i="2"/>
  <c r="E136" i="2"/>
  <c r="E137" i="2"/>
  <c r="E138" i="2"/>
  <c r="E139" i="2"/>
  <c r="E140" i="2"/>
  <c r="E141" i="2"/>
  <c r="E142" i="2"/>
  <c r="E143" i="2"/>
  <c r="E134" i="2"/>
  <c r="C236" i="2" l="1"/>
  <c r="D96" i="2"/>
  <c r="A32" i="2"/>
  <c r="A31" i="2"/>
  <c r="A30" i="2"/>
  <c r="A29" i="2"/>
  <c r="A28" i="2"/>
  <c r="A27" i="2"/>
  <c r="A26" i="2"/>
  <c r="A23" i="2"/>
  <c r="A22" i="2"/>
  <c r="A21" i="2"/>
  <c r="A20" i="2"/>
  <c r="A19" i="2"/>
  <c r="A18" i="2"/>
  <c r="A17" i="2"/>
  <c r="C20" i="8"/>
  <c r="E261" i="2"/>
  <c r="E205" i="2"/>
  <c r="E197" i="2"/>
  <c r="E181" i="2"/>
  <c r="E159" i="2"/>
  <c r="E146" i="2"/>
  <c r="E125" i="2"/>
  <c r="E105" i="2"/>
  <c r="E91" i="2"/>
  <c r="E77" i="2"/>
  <c r="E65" i="2"/>
  <c r="D185" i="2"/>
  <c r="C15" i="4"/>
  <c r="C20" i="4" s="1"/>
  <c r="C270" i="2" s="1"/>
  <c r="F13" i="4"/>
  <c r="E13" i="4"/>
  <c r="D13" i="4"/>
  <c r="C17" i="8"/>
  <c r="C25" i="5"/>
  <c r="C100" i="2"/>
  <c r="C98" i="2"/>
  <c r="D95" i="2"/>
  <c r="E81" i="2"/>
  <c r="D112" i="2" s="1"/>
  <c r="C112" i="2"/>
  <c r="C234" i="2"/>
  <c r="E234" i="2" s="1"/>
  <c r="C213" i="2"/>
  <c r="C215" i="2" s="1"/>
  <c r="E215" i="2" s="1"/>
  <c r="D213" i="2"/>
  <c r="D222" i="2" s="1"/>
  <c r="E169" i="2"/>
  <c r="D190" i="2"/>
  <c r="C178" i="2"/>
  <c r="C173" i="2"/>
  <c r="C71" i="2"/>
  <c r="D69" i="2"/>
  <c r="C257" i="2"/>
  <c r="C259" i="2" s="1"/>
  <c r="E259" i="2" s="1"/>
  <c r="D260" i="2" s="1"/>
  <c r="E260" i="2" s="1"/>
  <c r="C174" i="2"/>
  <c r="C190" i="2" s="1"/>
  <c r="C111" i="2"/>
  <c r="A41" i="2"/>
  <c r="A42" i="2"/>
  <c r="A43" i="2"/>
  <c r="A44" i="2"/>
  <c r="A48" i="2"/>
  <c r="D111" i="2"/>
  <c r="C72" i="2"/>
  <c r="A117" i="2"/>
  <c r="A123" i="2" s="1"/>
  <c r="A118" i="2"/>
  <c r="A124" i="2" s="1"/>
  <c r="E144" i="2"/>
  <c r="D152" i="2"/>
  <c r="E152" i="2" s="1"/>
  <c r="D153" i="2"/>
  <c r="E153" i="2" s="1"/>
  <c r="D154" i="2"/>
  <c r="E154" i="2" s="1"/>
  <c r="D155" i="2"/>
  <c r="E155" i="2" s="1"/>
  <c r="D156" i="2"/>
  <c r="E156" i="2" s="1"/>
  <c r="E157" i="2"/>
  <c r="E232" i="2"/>
  <c r="E203" i="2"/>
  <c r="E202" i="2"/>
  <c r="E245" i="2"/>
  <c r="E248" i="2"/>
  <c r="E249" i="2"/>
  <c r="E246" i="2"/>
  <c r="E247" i="2"/>
  <c r="D86" i="2" l="1"/>
  <c r="E86" i="2" s="1"/>
  <c r="E87" i="2" s="1"/>
  <c r="C27" i="5"/>
  <c r="C28" i="5" s="1"/>
  <c r="C26" i="5"/>
  <c r="C31" i="8" s="1"/>
  <c r="D172" i="2"/>
  <c r="E172" i="2" s="1"/>
  <c r="D201" i="2"/>
  <c r="E95" i="2"/>
  <c r="D98" i="2"/>
  <c r="E98" i="2" s="1"/>
  <c r="C219" i="2"/>
  <c r="E219" i="2" s="1"/>
  <c r="D71" i="2"/>
  <c r="E71" i="2" s="1"/>
  <c r="C221" i="2"/>
  <c r="E221" i="2" s="1"/>
  <c r="F250" i="2"/>
  <c r="F252" i="2" s="1"/>
  <c r="E33" i="2" s="1"/>
  <c r="E118" i="2"/>
  <c r="E213" i="2"/>
  <c r="E69" i="2"/>
  <c r="E174" i="2"/>
  <c r="C192" i="2" s="1"/>
  <c r="D145" i="2"/>
  <c r="E117" i="2"/>
  <c r="C145" i="2"/>
  <c r="E45" i="2"/>
  <c r="C123" i="2"/>
  <c r="E123" i="2" s="1"/>
  <c r="E111" i="2"/>
  <c r="E190" i="2"/>
  <c r="C124" i="2"/>
  <c r="E124" i="2" s="1"/>
  <c r="D62" i="2"/>
  <c r="C158" i="2"/>
  <c r="C217" i="2"/>
  <c r="E217" i="2" s="1"/>
  <c r="C227" i="2"/>
  <c r="E227" i="2" s="1"/>
  <c r="F228" i="2" s="1"/>
  <c r="E31" i="2" s="1"/>
  <c r="E257" i="2"/>
  <c r="D258" i="2" s="1"/>
  <c r="E258" i="2" s="1"/>
  <c r="F261" i="2" s="1"/>
  <c r="F263" i="2" s="1"/>
  <c r="E34" i="2" s="1"/>
  <c r="E185" i="2"/>
  <c r="D235" i="2"/>
  <c r="E235" i="2" s="1"/>
  <c r="D236" i="2" s="1"/>
  <c r="E236" i="2" s="1"/>
  <c r="F237" i="2" s="1"/>
  <c r="E32" i="2" s="1"/>
  <c r="E112" i="2"/>
  <c r="D158" i="2"/>
  <c r="C30" i="8" l="1"/>
  <c r="C33" i="5"/>
  <c r="C27" i="8" s="1"/>
  <c r="C35" i="8" s="1"/>
  <c r="D173" i="2"/>
  <c r="E173" i="2" s="1"/>
  <c r="E201" i="2"/>
  <c r="D204" i="2" s="1"/>
  <c r="E204" i="2" s="1"/>
  <c r="F205" i="2" s="1"/>
  <c r="E29" i="2" s="1"/>
  <c r="C187" i="2"/>
  <c r="C188" i="2" s="1"/>
  <c r="D189" i="2" s="1"/>
  <c r="E189" i="2" s="1"/>
  <c r="C28" i="8"/>
  <c r="C19" i="8"/>
  <c r="C25" i="8" s="1"/>
  <c r="C34" i="8" s="1"/>
  <c r="D72" i="2"/>
  <c r="E72" i="2" s="1"/>
  <c r="D100" i="2"/>
  <c r="E100" i="2" s="1"/>
  <c r="F119" i="2"/>
  <c r="E22" i="2" s="1"/>
  <c r="F125" i="2"/>
  <c r="E23" i="2" s="1"/>
  <c r="E158" i="2"/>
  <c r="F159" i="2" s="1"/>
  <c r="E145" i="2"/>
  <c r="F146" i="2" s="1"/>
  <c r="D177" i="2"/>
  <c r="E177" i="2" s="1"/>
  <c r="D178" i="2" s="1"/>
  <c r="E178" i="2" s="1"/>
  <c r="F113" i="2"/>
  <c r="E21" i="2" s="1"/>
  <c r="F223" i="2"/>
  <c r="E30" i="2" s="1"/>
  <c r="D88" i="2"/>
  <c r="C29" i="8" l="1"/>
  <c r="C32" i="8" s="1"/>
  <c r="C36" i="8"/>
  <c r="E179" i="2"/>
  <c r="D180" i="2" s="1"/>
  <c r="E180" i="2" s="1"/>
  <c r="F181" i="2" s="1"/>
  <c r="E27" i="2" s="1"/>
  <c r="C193" i="2"/>
  <c r="D194" i="2" s="1"/>
  <c r="E194" i="2" s="1"/>
  <c r="E195" i="2" s="1"/>
  <c r="D196" i="2" s="1"/>
  <c r="E196" i="2" s="1"/>
  <c r="F197" i="2" s="1"/>
  <c r="F161" i="2"/>
  <c r="E24" i="2" s="1"/>
  <c r="E101" i="2"/>
  <c r="D102" i="2" s="1"/>
  <c r="E73" i="2"/>
  <c r="C37" i="8" l="1"/>
  <c r="C88" i="2" s="1"/>
  <c r="E28" i="2"/>
  <c r="E26" i="2" s="1"/>
  <c r="F240" i="2"/>
  <c r="E25" i="2" s="1"/>
  <c r="D74" i="2"/>
  <c r="C74" i="2" l="1"/>
  <c r="E74" i="2" s="1"/>
  <c r="E75" i="2" s="1"/>
  <c r="D76" i="2" s="1"/>
  <c r="E76" i="2" s="1"/>
  <c r="F77" i="2" s="1"/>
  <c r="E18" i="2" s="1"/>
  <c r="C62" i="2"/>
  <c r="E62" i="2" s="1"/>
  <c r="E63" i="2" s="1"/>
  <c r="D64" i="2" s="1"/>
  <c r="E64" i="2" s="1"/>
  <c r="F65" i="2" s="1"/>
  <c r="E17" i="2" s="1"/>
  <c r="C102" i="2"/>
  <c r="E102" i="2" s="1"/>
  <c r="E103" i="2" s="1"/>
  <c r="D104" i="2" s="1"/>
  <c r="E104" i="2" s="1"/>
  <c r="F105" i="2" s="1"/>
  <c r="E20" i="2" s="1"/>
  <c r="E88" i="2"/>
  <c r="E89" i="2" s="1"/>
  <c r="D90" i="2" s="1"/>
  <c r="E90" i="2" s="1"/>
  <c r="F91" i="2" s="1"/>
  <c r="E19" i="2" s="1"/>
  <c r="F127" i="2" l="1"/>
  <c r="F265" i="2" s="1"/>
  <c r="E16" i="2" l="1"/>
  <c r="D270" i="2"/>
  <c r="E270" i="2" s="1"/>
  <c r="F271" i="2" s="1"/>
  <c r="F273" i="2" s="1"/>
  <c r="E35" i="2" s="1"/>
  <c r="E36" i="2" l="1"/>
  <c r="F16" i="2" s="1"/>
  <c r="F276" i="2"/>
  <c r="F34" i="2" l="1"/>
  <c r="F18" i="2"/>
  <c r="F24" i="2"/>
  <c r="F17" i="2"/>
  <c r="F23" i="2"/>
  <c r="F20" i="2"/>
  <c r="F25" i="2"/>
  <c r="F32" i="2"/>
  <c r="F31" i="2"/>
  <c r="F19" i="2"/>
  <c r="F26" i="2"/>
  <c r="F27" i="2"/>
  <c r="F28" i="2"/>
  <c r="F22" i="2"/>
  <c r="F29" i="2"/>
  <c r="F21" i="2"/>
  <c r="F33" i="2"/>
  <c r="F30" i="2"/>
  <c r="F35" i="2"/>
  <c r="F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 xr:uid="{00000000-0006-0000-0000-000003000000}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8" authorId="0" shapeId="0" xr:uid="{00000000-0006-0000-0000-000004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C6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4" authorId="0" shapeId="0" xr:uid="{00000000-0006-0000-0000-00000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0" authorId="0" shapeId="0" xr:uid="{00000000-0006-0000-0000-00000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6" authorId="0" shapeId="0" xr:uid="{00000000-0006-0000-0000-00000A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1" authorId="0" shapeId="0" xr:uid="{00000000-0006-0000-0000-00000B000000}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2" authorId="0" shapeId="0" xr:uid="{00000000-0006-0000-0000-00000C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3" authorId="0" shapeId="0" xr:uid="{00000000-0006-0000-0000-00000D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4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C85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6" authorId="0" shapeId="0" xr:uid="{00000000-0006-0000-0000-000010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8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0" authorId="0" shapeId="0" xr:uid="{00000000-0006-0000-0000-000012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97" authorId="0" shapeId="0" xr:uid="{00000000-0006-0000-0000-000013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99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02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4" authorId="0" shapeId="0" xr:uid="{00000000-0006-0000-0000-000016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09" authorId="0" shapeId="0" xr:uid="{00000000-0006-0000-0000-000017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10" authorId="0" shapeId="0" xr:uid="{00000000-0006-0000-0000-000018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11" authorId="0" shapeId="0" xr:uid="{00000000-0006-0000-0000-000019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12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17" authorId="0" shapeId="0" xr:uid="{00000000-0006-0000-0000-00001B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8" authorId="0" shapeId="0" xr:uid="{00000000-0006-0000-0000-00001C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23" authorId="0" shapeId="0" xr:uid="{00000000-0006-0000-0000-00001D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24" authorId="0" shapeId="0" xr:uid="{00000000-0006-0000-0000-00001E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34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4" authorId="0" shapeId="0" xr:uid="{00000000-0006-0000-0000-00002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5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5" authorId="0" shapeId="0" xr:uid="{00000000-0006-0000-0000-00002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6" authorId="0" shapeId="0" xr:uid="{00000000-0006-0000-0000-000023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6" authorId="0" shapeId="0" xr:uid="{00000000-0006-0000-0000-000024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7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7" authorId="0" shapeId="0" xr:uid="{00000000-0006-0000-0000-000026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8" authorId="0" shapeId="0" xr:uid="{00000000-0006-0000-0000-000027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8" authorId="0" shapeId="0" xr:uid="{00000000-0006-0000-0000-000028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9" authorId="0" shapeId="0" xr:uid="{00000000-0006-0000-0000-000029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9" authorId="0" shapeId="0" xr:uid="{00000000-0006-0000-0000-00002A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0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0" authorId="0" shapeId="0" xr:uid="{00000000-0006-0000-0000-00002C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1" authorId="0" shapeId="0" xr:uid="{00000000-0006-0000-0000-00002D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1" authorId="0" shapeId="0" xr:uid="{00000000-0006-0000-0000-00002E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2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2" authorId="0" shapeId="0" xr:uid="{00000000-0006-0000-0000-00003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3" authorId="0" shapeId="0" xr:uid="{00000000-0006-0000-0000-000031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3" authorId="0" shapeId="0" xr:uid="{00000000-0006-0000-0000-00003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4" authorId="0" shapeId="0" xr:uid="{00000000-0006-0000-0000-000033000000}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51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2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3" authorId="0" shapeId="0" xr:uid="{00000000-0006-0000-0000-000036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4" authorId="0" shapeId="0" xr:uid="{00000000-0006-0000-0000-000037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5" authorId="0" shapeId="0" xr:uid="{00000000-0006-0000-0000-000038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6" authorId="0" shapeId="0" xr:uid="{00000000-0006-0000-0000-000039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 xr:uid="{00000000-0006-0000-0000-00003A000000}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69" authorId="0" shapeId="0" xr:uid="{00000000-0006-0000-0000-00003B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70" authorId="0" shapeId="0" xr:uid="{00000000-0006-0000-0000-00003C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71" authorId="0" shapeId="0" xr:uid="{00000000-0006-0000-0000-00003D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72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4" authorId="0" shapeId="0" xr:uid="{00000000-0006-0000-0000-00003F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75" authorId="0" shapeId="0" xr:uid="{00000000-0006-0000-0000-000040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76" authorId="0" shapeId="0" xr:uid="{00000000-0006-0000-0000-000041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77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0" authorId="0" shapeId="0" xr:uid="{00000000-0006-0000-0000-000043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86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2" authorId="0" shapeId="0" xr:uid="{00000000-0006-0000-0000-000045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03" authorId="0" shapeId="0" xr:uid="{00000000-0006-0000-0000-000046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09" authorId="0" shapeId="0" xr:uid="{00000000-0006-0000-0000-000047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12" authorId="0" shapeId="0" xr:uid="{00000000-0006-0000-0000-000048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12" authorId="0" shapeId="0" xr:uid="{00000000-0006-0000-0000-000049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14" authorId="0" shapeId="0" xr:uid="{00000000-0006-0000-0000-00004A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14" authorId="0" shapeId="0" xr:uid="{00000000-0006-0000-0000-00004B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16" authorId="0" shapeId="0" xr:uid="{00000000-0006-0000-0000-00004C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16" authorId="0" shapeId="0" xr:uid="{00000000-0006-0000-0000-00004D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18" authorId="0" shapeId="0" xr:uid="{00000000-0006-0000-0000-00004E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18" authorId="0" shapeId="0" xr:uid="{00000000-0006-0000-0000-00004F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20" authorId="0" shapeId="0" xr:uid="{00000000-0006-0000-0000-000050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20" authorId="0" shapeId="0" xr:uid="{00000000-0006-0000-0000-000051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27" authorId="0" shapeId="0" xr:uid="{00000000-0006-0000-0000-000052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2" authorId="0" shapeId="0" xr:uid="{00000000-0006-0000-0000-000053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2" authorId="0" shapeId="0" xr:uid="{00000000-0006-0000-0000-000054000000}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33" authorId="0" shapeId="0" xr:uid="{00000000-0006-0000-0000-000055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34" authorId="0" shapeId="0" xr:uid="{00000000-0006-0000-0000-000056000000}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35" authorId="0" shapeId="0" xr:uid="{00000000-0006-0000-0000-000057000000}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45" authorId="0" shapeId="0" xr:uid="{00000000-0006-0000-0000-000058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5" authorId="0" shapeId="0" xr:uid="{00000000-0006-0000-0000-000059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6" authorId="0" shapeId="0" xr:uid="{00000000-0006-0000-0000-00005A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6" authorId="0" shapeId="0" xr:uid="{00000000-0006-0000-0000-00005B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7" authorId="0" shapeId="0" xr:uid="{00000000-0006-0000-0000-00005C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7" authorId="0" shapeId="0" xr:uid="{00000000-0006-0000-0000-00005D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8" authorId="0" shapeId="0" xr:uid="{00000000-0006-0000-0000-00005E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8" authorId="0" shapeId="0" xr:uid="{00000000-0006-0000-0000-00005F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49" authorId="0" shapeId="0" xr:uid="{00000000-0006-0000-0000-000060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49" authorId="0" shapeId="0" xr:uid="{00000000-0006-0000-0000-000061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54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7" authorId="0" shapeId="0" xr:uid="{00000000-0006-0000-0000-000063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59" authorId="0" shapeId="0" xr:uid="{00000000-0006-0000-0000-000064000000}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70" authorId="0" shapeId="0" xr:uid="{00000000-0006-0000-0000-000065000000}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C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cbridi</author>
    <author>Clauber Bridi</author>
    <author>Omar</author>
  </authors>
  <commentList>
    <comment ref="C12" authorId="0" shapeId="0" xr:uid="{00000000-0006-0000-0600-000001000000}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 shapeId="0" xr:uid="{00000000-0006-0000-0600-000003000000}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 shapeId="0" xr:uid="{00000000-0006-0000-0600-000004000000}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 shapeId="0" xr:uid="{00000000-0006-0000-0600-000005000000}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 shapeId="0" xr:uid="{00000000-0006-0000-0600-000006000000}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 shapeId="0" xr:uid="{00000000-0006-0000-0600-000007000000}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<sst xmlns="http://schemas.openxmlformats.org/spreadsheetml/2006/main" count="553" uniqueCount="306">
  <si>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</si>
  <si>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</si>
  <si>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</si>
  <si>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</si>
  <si>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</si>
  <si>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</si>
  <si>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</si>
  <si>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</si>
  <si>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</si>
  <si>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</si>
  <si>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</si>
  <si>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</si>
  <si>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</si>
  <si>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</si>
  <si>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</si>
  <si>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</si>
  <si>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</si>
  <si>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</si>
  <si>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</si>
  <si>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</si>
  <si>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</si>
  <si>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</si>
  <si>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</si>
  <si>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</si>
  <si>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</si>
  <si>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</si>
  <si>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Pá de Concha</t>
  </si>
  <si>
    <t>Vassoura</t>
  </si>
  <si>
    <t>Calça</t>
  </si>
  <si>
    <t>Camiseta</t>
  </si>
  <si>
    <t>Boné</t>
  </si>
  <si>
    <t>Luva de proteção</t>
  </si>
  <si>
    <t>R$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</si>
  <si>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</si>
  <si>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</si>
  <si>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</si>
  <si>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</si>
  <si>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</si>
  <si>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</si>
  <si>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</si>
  <si>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</si>
  <si>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</si>
  <si>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</si>
  <si>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</si>
  <si>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</si>
  <si>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</si>
  <si>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</si>
  <si>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</si>
  <si>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</si>
  <si>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</si>
  <si>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</si>
  <si>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</si>
  <si>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</si>
  <si>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</si>
  <si>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</si>
  <si>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</si>
  <si>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</si>
  <si>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</si>
  <si>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</si>
  <si>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</si>
  <si>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</si>
  <si>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</si>
  <si>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</si>
  <si>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</si>
  <si>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</si>
  <si>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</si>
  <si>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</si>
  <si>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</si>
  <si>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</si>
  <si>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</si>
  <si>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</si>
  <si>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</si>
  <si>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</si>
  <si>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</si>
  <si>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</si>
  <si>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</si>
  <si>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</si>
  <si>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</si>
  <si>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</si>
  <si>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</si>
  <si>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</si>
  <si>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</si>
  <si>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</si>
  <si>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</si>
  <si>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</si>
  <si>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</si>
  <si>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</si>
  <si>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</si>
  <si>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</si>
  <si>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</si>
  <si>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</si>
  <si>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</si>
  <si>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</si>
  <si>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</si>
  <si>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</si>
  <si>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</si>
  <si>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</si>
  <si>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</si>
  <si>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</si>
  <si>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</si>
  <si>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</si>
  <si>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</si>
  <si>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</si>
  <si>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</si>
  <si>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</si>
  <si>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</si>
  <si>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</si>
  <si>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</si>
  <si>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</si>
  <si>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</si>
  <si>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</si>
  <si>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</si>
  <si>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</si>
  <si>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</si>
  <si>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</si>
  <si>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</si>
  <si>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</si>
  <si>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</si>
  <si>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</si>
  <si>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</si>
  <si>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</si>
  <si>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</si>
  <si>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</si>
  <si>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</si>
  <si>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</si>
  <si>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</si>
  <si>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</si>
  <si>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</si>
  <si>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</si>
  <si>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</si>
  <si>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</si>
  <si>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</si>
  <si>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</si>
  <si>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</si>
  <si>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</si>
  <si>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</si>
  <si>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</si>
  <si>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</si>
  <si>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</si>
  <si>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</si>
  <si>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</si>
  <si>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</si>
  <si>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</si>
  <si>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</si>
  <si>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</si>
  <si>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</si>
  <si>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</si>
  <si>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</si>
  <si>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</si>
  <si>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</si>
  <si>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</si>
  <si>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</si>
  <si>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</si>
  <si>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</si>
  <si>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</si>
  <si>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</si>
  <si>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</si>
  <si>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</si>
  <si>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</si>
  <si>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</si>
  <si>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</si>
  <si>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</si>
  <si>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</si>
  <si>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</si>
  <si>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</si>
  <si>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</si>
  <si>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</si>
  <si>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</si>
  <si>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</si>
  <si>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</si>
  <si>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</si>
  <si>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</si>
  <si>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</si>
  <si>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</si>
  <si>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</si>
  <si>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</si>
  <si>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</si>
  <si>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</si>
  <si>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</si>
  <si>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</si>
  <si>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</si>
  <si>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</si>
  <si>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</si>
  <si>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</si>
  <si>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</si>
  <si>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</si>
  <si>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</si>
  <si>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</si>
  <si>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</si>
  <si>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</si>
  <si>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</si>
  <si>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</si>
  <si>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</si>
  <si>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</si>
  <si>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</si>
  <si>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</si>
  <si>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</si>
  <si>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</si>
  <si>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</si>
  <si>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</si>
  <si>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</si>
  <si>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</si>
  <si>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</si>
  <si>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</si>
  <si>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</si>
  <si>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</si>
  <si>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</si>
  <si>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</si>
  <si>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</si>
  <si>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</si>
  <si>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</si>
  <si>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</si>
  <si>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</si>
  <si>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</si>
  <si>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</si>
  <si>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</si>
  <si>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</si>
  <si>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</si>
  <si>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</si>
  <si>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</si>
  <si>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</si>
  <si>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</si>
  <si>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</si>
  <si>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</si>
  <si>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</si>
  <si>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</si>
  <si>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</si>
  <si>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</si>
  <si>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</si>
  <si>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</si>
  <si>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</si>
  <si>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</si>
  <si>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</si>
  <si>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</si>
  <si>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</si>
  <si>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</si>
  <si>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</si>
  <si>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</si>
  <si>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</si>
  <si>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</si>
  <si>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</si>
  <si>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</si>
  <si>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</si>
  <si>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</si>
  <si>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</si>
  <si>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</si>
  <si>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</si>
  <si>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</si>
  <si>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</si>
  <si>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</si>
  <si>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</si>
  <si>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</si>
  <si>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</si>
  <si>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</si>
  <si>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</si>
  <si>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</si>
  <si>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</si>
  <si>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</si>
  <si>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</si>
  <si>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</si>
  <si>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</si>
  <si>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</si>
  <si>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</si>
  <si>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</si>
  <si>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</si>
  <si>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</si>
  <si>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</si>
  <si>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</si>
  <si>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</si>
  <si>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</si>
  <si>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</si>
  <si>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</si>
  <si>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</si>
  <si>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</si>
  <si>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</si>
  <si>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</si>
  <si>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</si>
  <si>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</si>
  <si>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</si>
  <si>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</si>
  <si>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</si>
  <si>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</si>
  <si>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</si>
  <si>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</si>
  <si>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</si>
  <si>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</si>
  <si>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</si>
  <si>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</si>
  <si>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</si>
  <si>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</si>
  <si>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</si>
  <si>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</si>
  <si>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</si>
  <si>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</si>
  <si>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</si>
  <si>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</si>
  <si>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</si>
  <si>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Preencha as células em amarelo</t>
  </si>
  <si>
    <t>Tendo em vista que o CAGED foi descontinuado em janeiro de 2020, esta planilha foi atualizada até 31/12/2019.</t>
  </si>
  <si>
    <t>Ajustado, de acordo com a nova Lei Federal nº 13.932/2019</t>
  </si>
  <si>
    <r>
      <t>3.1. Veículo Coletor Compactador</t>
    </r>
    <r>
      <rPr>
        <sz val="10"/>
        <color indexed="10"/>
        <rFont val="Arial"/>
        <family val="2"/>
      </rPr>
      <t xml:space="preserve"> 17</t>
    </r>
    <r>
      <rPr>
        <sz val="10"/>
        <rFont val="Arial"/>
        <family val="2"/>
      </rPr>
      <t xml:space="preserve"> m³</t>
    </r>
  </si>
  <si>
    <r>
      <t xml:space="preserve">Custo jg. compl. </t>
    </r>
    <r>
      <rPr>
        <sz val="10"/>
        <color rgb="FFFF0000"/>
        <rFont val="Arial"/>
        <family val="2"/>
      </rPr>
      <t>+ 1 recap./20.000</t>
    </r>
    <r>
      <rPr>
        <sz val="10"/>
        <rFont val="Arial"/>
        <family val="2"/>
      </rPr>
      <t xml:space="preserve"> km rodado</t>
    </r>
  </si>
  <si>
    <t>Custo do jogo de pneus 275/80 R 22,5</t>
  </si>
  <si>
    <t>Horas Extras (100%)</t>
  </si>
  <si>
    <t>hora</t>
  </si>
  <si>
    <t>Horas Extras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</si>
</sst>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centerContinuous" vertical="center"/>
    </xf>
    <xf numFmtId="165" fontId="0" fillId="0" borderId="8" xfId="3" applyFont="1" applyBorder="1" applyAlignment="1">
      <alignment vertical="center"/>
    </xf>
    <xf numFmtId="165" fontId="3" fillId="0" borderId="11" xfId="3" applyFont="1" applyBorder="1" applyAlignment="1">
      <alignment horizontal="right" vertical="center"/>
    </xf>
    <xf numFmtId="165" fontId="0" fillId="0" borderId="12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3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5" fontId="12" fillId="2" borderId="15" xfId="3" applyFont="1" applyFill="1" applyBorder="1" applyAlignment="1">
      <alignment horizontal="center" vertical="center"/>
    </xf>
    <xf numFmtId="165" fontId="12" fillId="2" borderId="16" xfId="3" applyFont="1" applyFill="1" applyBorder="1" applyAlignment="1">
      <alignment horizontal="center" vertical="center"/>
    </xf>
    <xf numFmtId="165" fontId="3" fillId="0" borderId="17" xfId="3" applyFont="1" applyBorder="1" applyAlignment="1">
      <alignment horizontal="center" vertical="center"/>
    </xf>
    <xf numFmtId="165" fontId="1" fillId="0" borderId="12" xfId="3" applyFont="1" applyBorder="1" applyAlignment="1">
      <alignment horizontal="left" vertical="center"/>
    </xf>
    <xf numFmtId="165" fontId="6" fillId="0" borderId="8" xfId="3" applyFont="1" applyBorder="1" applyAlignment="1">
      <alignment vertical="center"/>
    </xf>
    <xf numFmtId="165" fontId="6" fillId="0" borderId="12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8" xfId="3" applyNumberFormat="1" applyFont="1" applyBorder="1" applyAlignment="1">
      <alignment horizontal="center" vertical="center"/>
    </xf>
    <xf numFmtId="165" fontId="3" fillId="0" borderId="26" xfId="3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165" fontId="6" fillId="0" borderId="17" xfId="3" applyFont="1" applyBorder="1" applyAlignment="1">
      <alignment vertical="center"/>
    </xf>
    <xf numFmtId="165" fontId="6" fillId="0" borderId="9" xfId="3" applyFont="1" applyBorder="1" applyAlignment="1">
      <alignment vertical="center"/>
    </xf>
    <xf numFmtId="0" fontId="0" fillId="0" borderId="9" xfId="0" applyBorder="1" applyAlignment="1">
      <alignment vertical="center"/>
    </xf>
    <xf numFmtId="1" fontId="6" fillId="0" borderId="10" xfId="3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 applyAlignment="1">
      <alignment vertical="center"/>
    </xf>
    <xf numFmtId="1" fontId="3" fillId="0" borderId="29" xfId="3" applyNumberFormat="1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65" fontId="12" fillId="2" borderId="31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vertical="center"/>
    </xf>
    <xf numFmtId="165" fontId="3" fillId="0" borderId="33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2" xfId="3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3" fillId="0" borderId="8" xfId="3" applyFont="1" applyBorder="1" applyAlignment="1">
      <alignment vertical="center"/>
    </xf>
    <xf numFmtId="10" fontId="3" fillId="0" borderId="13" xfId="2" applyNumberFormat="1" applyFont="1" applyBorder="1" applyAlignment="1">
      <alignment vertical="center"/>
    </xf>
    <xf numFmtId="165" fontId="3" fillId="0" borderId="36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37" xfId="3" applyFont="1" applyBorder="1" applyAlignment="1">
      <alignment vertical="center"/>
    </xf>
    <xf numFmtId="165" fontId="6" fillId="0" borderId="38" xfId="3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1" fontId="6" fillId="0" borderId="35" xfId="3" applyNumberFormat="1" applyFont="1" applyBorder="1" applyAlignment="1">
      <alignment horizontal="center" vertical="center"/>
    </xf>
    <xf numFmtId="165" fontId="3" fillId="0" borderId="12" xfId="3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centerContinuous" vertical="center"/>
    </xf>
    <xf numFmtId="4" fontId="6" fillId="0" borderId="0" xfId="0" applyNumberFormat="1" applyFont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6" xfId="2" applyFont="1" applyBorder="1" applyAlignment="1">
      <alignment vertical="center"/>
    </xf>
    <xf numFmtId="10" fontId="6" fillId="0" borderId="13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36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7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17" fillId="0" borderId="12" xfId="0" applyFont="1" applyBorder="1"/>
    <xf numFmtId="0" fontId="17" fillId="0" borderId="45" xfId="0" applyFont="1" applyBorder="1"/>
    <xf numFmtId="0" fontId="17" fillId="3" borderId="18" xfId="0" applyFont="1" applyFill="1" applyBorder="1"/>
    <xf numFmtId="0" fontId="17" fillId="0" borderId="21" xfId="0" applyFont="1" applyBorder="1"/>
    <xf numFmtId="0" fontId="17" fillId="0" borderId="46" xfId="0" applyFont="1" applyBorder="1"/>
    <xf numFmtId="0" fontId="17" fillId="0" borderId="18" xfId="0" applyFont="1" applyBorder="1"/>
    <xf numFmtId="0" fontId="17" fillId="0" borderId="26" xfId="0" applyFont="1" applyBorder="1"/>
    <xf numFmtId="2" fontId="18" fillId="7" borderId="1" xfId="0" applyNumberFormat="1" applyFont="1" applyFill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2" fontId="18" fillId="7" borderId="34" xfId="0" applyNumberFormat="1" applyFont="1" applyFill="1" applyBorder="1" applyAlignment="1">
      <alignment horizontal="right" vertical="center"/>
    </xf>
    <xf numFmtId="0" fontId="18" fillId="0" borderId="2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18" fillId="0" borderId="18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10" fontId="22" fillId="0" borderId="18" xfId="0" applyNumberFormat="1" applyFont="1" applyBorder="1" applyAlignment="1">
      <alignment horizontal="right" vertical="center"/>
    </xf>
    <xf numFmtId="0" fontId="18" fillId="5" borderId="2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10" fontId="22" fillId="5" borderId="18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0" fontId="6" fillId="0" borderId="0" xfId="0" applyNumberFormat="1" applyFont="1"/>
    <xf numFmtId="9" fontId="18" fillId="0" borderId="0" xfId="2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0" fontId="18" fillId="9" borderId="22" xfId="0" applyFont="1" applyFill="1" applyBorder="1" applyAlignment="1">
      <alignment horizontal="left" vertical="center"/>
    </xf>
    <xf numFmtId="0" fontId="22" fillId="9" borderId="34" xfId="0" applyFont="1" applyFill="1" applyBorder="1" applyAlignment="1">
      <alignment horizontal="left" vertical="center"/>
    </xf>
    <xf numFmtId="10" fontId="22" fillId="9" borderId="35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10" fontId="22" fillId="0" borderId="0" xfId="0" applyNumberFormat="1" applyFont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10" fontId="18" fillId="0" borderId="0" xfId="0" applyNumberFormat="1" applyFont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26" fillId="0" borderId="0" xfId="0" applyFont="1"/>
    <xf numFmtId="0" fontId="18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3" xfId="0" applyFont="1" applyBorder="1"/>
    <xf numFmtId="0" fontId="5" fillId="0" borderId="21" xfId="0" applyFont="1" applyBorder="1"/>
    <xf numFmtId="0" fontId="5" fillId="3" borderId="18" xfId="0" applyFont="1" applyFill="1" applyBorder="1"/>
    <xf numFmtId="0" fontId="5" fillId="0" borderId="45" xfId="0" applyFont="1" applyBorder="1"/>
    <xf numFmtId="0" fontId="5" fillId="3" borderId="46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36" xfId="0" applyFont="1" applyBorder="1"/>
    <xf numFmtId="0" fontId="5" fillId="0" borderId="37" xfId="0" applyFont="1" applyBorder="1"/>
    <xf numFmtId="0" fontId="7" fillId="0" borderId="46" xfId="0" applyFont="1" applyBorder="1"/>
    <xf numFmtId="0" fontId="7" fillId="0" borderId="36" xfId="0" applyFont="1" applyBorder="1" applyAlignment="1">
      <alignment horizontal="left" vertical="center"/>
    </xf>
    <xf numFmtId="9" fontId="5" fillId="0" borderId="21" xfId="2" applyFont="1" applyBorder="1"/>
    <xf numFmtId="9" fontId="5" fillId="0" borderId="1" xfId="2" applyFont="1" applyBorder="1" applyAlignment="1">
      <alignment horizontal="center"/>
    </xf>
    <xf numFmtId="9" fontId="5" fillId="0" borderId="18" xfId="2" applyFont="1" applyBorder="1"/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10" fontId="5" fillId="3" borderId="10" xfId="0" applyNumberFormat="1" applyFont="1" applyFill="1" applyBorder="1" applyAlignment="1">
      <alignment horizontal="center" vertical="center"/>
    </xf>
    <xf numFmtId="10" fontId="5" fillId="0" borderId="18" xfId="2" applyNumberFormat="1" applyFont="1" applyBorder="1"/>
    <xf numFmtId="0" fontId="5" fillId="0" borderId="2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3" borderId="18" xfId="0" applyNumberFormat="1" applyFont="1" applyFill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8" xfId="0" applyFont="1" applyBorder="1"/>
    <xf numFmtId="0" fontId="5" fillId="0" borderId="22" xfId="0" applyFont="1" applyBorder="1" applyAlignment="1">
      <alignment horizontal="left" vertical="center"/>
    </xf>
    <xf numFmtId="10" fontId="5" fillId="3" borderId="3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0" fontId="5" fillId="0" borderId="25" xfId="0" applyNumberFormat="1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1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18" xfId="2" applyNumberFormat="1" applyFont="1" applyBorder="1" applyAlignment="1">
      <alignment horizontal="right"/>
    </xf>
    <xf numFmtId="10" fontId="5" fillId="0" borderId="22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0" fontId="6" fillId="0" borderId="50" xfId="0" applyFont="1" applyBorder="1"/>
    <xf numFmtId="0" fontId="19" fillId="0" borderId="50" xfId="0" applyFont="1" applyBorder="1" applyAlignment="1">
      <alignment horizontal="justify"/>
    </xf>
    <xf numFmtId="0" fontId="19" fillId="0" borderId="51" xfId="0" applyFont="1" applyBorder="1" applyAlignment="1">
      <alignment horizontal="justify"/>
    </xf>
    <xf numFmtId="0" fontId="16" fillId="10" borderId="49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4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3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52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165" fontId="3" fillId="0" borderId="52" xfId="3" applyFont="1" applyBorder="1" applyAlignment="1">
      <alignment horizontal="center" vertical="center"/>
    </xf>
    <xf numFmtId="165" fontId="3" fillId="0" borderId="52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21" xfId="0" applyFont="1" applyBorder="1"/>
    <xf numFmtId="0" fontId="7" fillId="0" borderId="1" xfId="0" applyFont="1" applyBorder="1"/>
    <xf numFmtId="0" fontId="7" fillId="0" borderId="18" xfId="0" applyFont="1" applyBorder="1"/>
    <xf numFmtId="0" fontId="5" fillId="0" borderId="1" xfId="0" applyFont="1" applyBorder="1"/>
    <xf numFmtId="170" fontId="23" fillId="0" borderId="18" xfId="3" applyNumberFormat="1" applyFont="1" applyBorder="1" applyAlignment="1">
      <alignment horizontal="center" vertical="center" wrapText="1"/>
    </xf>
    <xf numFmtId="171" fontId="5" fillId="0" borderId="18" xfId="0" applyNumberFormat="1" applyFont="1" applyBorder="1"/>
    <xf numFmtId="2" fontId="5" fillId="0" borderId="18" xfId="0" applyNumberFormat="1" applyFont="1" applyBorder="1"/>
    <xf numFmtId="0" fontId="5" fillId="0" borderId="22" xfId="0" applyFont="1" applyBorder="1"/>
    <xf numFmtId="0" fontId="5" fillId="0" borderId="34" xfId="0" applyFont="1" applyBorder="1"/>
    <xf numFmtId="171" fontId="5" fillId="3" borderId="18" xfId="0" applyNumberFormat="1" applyFont="1" applyFill="1" applyBorder="1"/>
    <xf numFmtId="171" fontId="5" fillId="0" borderId="35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72" fontId="5" fillId="3" borderId="18" xfId="0" applyNumberFormat="1" applyFont="1" applyFill="1" applyBorder="1"/>
    <xf numFmtId="0" fontId="5" fillId="0" borderId="21" xfId="0" applyFont="1" applyBorder="1" applyAlignment="1">
      <alignment horizontal="right"/>
    </xf>
    <xf numFmtId="4" fontId="31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32" fillId="0" borderId="0" xfId="0" applyNumberFormat="1" applyFont="1" applyAlignment="1">
      <alignment vertical="center"/>
    </xf>
    <xf numFmtId="0" fontId="30" fillId="0" borderId="0" xfId="0" applyFont="1"/>
    <xf numFmtId="0" fontId="1" fillId="0" borderId="2" xfId="0" applyFont="1" applyBorder="1" applyAlignment="1">
      <alignment vertical="center"/>
    </xf>
    <xf numFmtId="169" fontId="7" fillId="0" borderId="18" xfId="0" applyNumberFormat="1" applyFont="1" applyBorder="1"/>
    <xf numFmtId="9" fontId="17" fillId="0" borderId="18" xfId="2" applyFont="1" applyBorder="1"/>
    <xf numFmtId="10" fontId="17" fillId="0" borderId="18" xfId="2" applyNumberFormat="1" applyFont="1" applyBorder="1"/>
    <xf numFmtId="9" fontId="7" fillId="0" borderId="29" xfId="2" applyFont="1" applyBorder="1"/>
    <xf numFmtId="0" fontId="5" fillId="0" borderId="53" xfId="0" applyFont="1" applyBorder="1"/>
    <xf numFmtId="165" fontId="33" fillId="0" borderId="1" xfId="3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6" fontId="1" fillId="0" borderId="1" xfId="3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165" fontId="1" fillId="3" borderId="1" xfId="3" applyFont="1" applyFill="1" applyBorder="1" applyAlignment="1">
      <alignment horizontal="center" vertical="center"/>
    </xf>
    <xf numFmtId="165" fontId="1" fillId="0" borderId="1" xfId="3" applyFont="1" applyBorder="1" applyAlignment="1">
      <alignment horizontal="center" vertical="center"/>
    </xf>
    <xf numFmtId="165" fontId="1" fillId="0" borderId="0" xfId="3" applyFont="1" applyAlignment="1">
      <alignment horizontal="right" vertical="center"/>
    </xf>
    <xf numFmtId="165" fontId="1" fillId="0" borderId="1" xfId="3" applyFont="1" applyBorder="1" applyAlignment="1">
      <alignment vertical="center"/>
    </xf>
    <xf numFmtId="3" fontId="5" fillId="3" borderId="18" xfId="0" applyNumberFormat="1" applyFont="1" applyFill="1" applyBorder="1"/>
    <xf numFmtId="0" fontId="1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5" fontId="1" fillId="0" borderId="0" xfId="3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5" fontId="3" fillId="0" borderId="12" xfId="3" applyFont="1" applyBorder="1" applyAlignment="1">
      <alignment horizontal="left" vertical="center"/>
    </xf>
    <xf numFmtId="165" fontId="3" fillId="0" borderId="8" xfId="3" applyFont="1" applyBorder="1" applyAlignment="1">
      <alignment horizontal="left"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6" fillId="8" borderId="25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1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0" fontId="16" fillId="8" borderId="2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/>
    </xf>
    <xf numFmtId="0" fontId="16" fillId="10" borderId="4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9" fontId="7" fillId="0" borderId="19" xfId="2" applyFont="1" applyBorder="1" applyAlignment="1">
      <alignment horizontal="center"/>
    </xf>
    <xf numFmtId="9" fontId="7" fillId="0" borderId="20" xfId="2" applyFont="1" applyBorder="1" applyAlignment="1">
      <alignment horizontal="center"/>
    </xf>
    <xf numFmtId="9" fontId="7" fillId="0" borderId="10" xfId="2" applyFont="1" applyBorder="1" applyAlignment="1">
      <alignment horizontal="center"/>
    </xf>
    <xf numFmtId="0" fontId="4" fillId="10" borderId="23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center"/>
    </xf>
    <xf numFmtId="0" fontId="16" fillId="10" borderId="20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5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5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2"/>
  <sheetViews>
    <sheetView tabSelected="1" view="pageBreakPreview" topLeftCell="A223" zoomScaleNormal="100" zoomScaleSheetLayoutView="100" workbookViewId="0">
      <selection activeCell="F276" sqref="F276"/>
    </sheetView>
  </sheetViews>
  <sheetFormatPr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x14ac:dyDescent="0.2">
      <c r="A1" s="53" t="s">
        <v>205</v>
      </c>
    </row>
    <row r="2" spans="1:7" ht="15.75" x14ac:dyDescent="0.2">
      <c r="A2" s="273" t="s">
        <v>282</v>
      </c>
    </row>
    <row r="3" spans="1:7" ht="15.75" x14ac:dyDescent="0.2">
      <c r="A3" s="273" t="s">
        <v>283</v>
      </c>
    </row>
    <row r="4" spans="1:7" ht="15.75" x14ac:dyDescent="0.2">
      <c r="A4" s="273" t="s">
        <v>285</v>
      </c>
    </row>
    <row r="5" spans="1:7" s="4" customFormat="1" ht="15.6" customHeight="1" x14ac:dyDescent="0.2">
      <c r="A5" s="272" t="s">
        <v>279</v>
      </c>
      <c r="C5" s="5"/>
      <c r="D5" s="5"/>
      <c r="E5" s="5"/>
      <c r="F5" s="5"/>
      <c r="G5" s="6"/>
    </row>
    <row r="6" spans="1:7" s="4" customFormat="1" ht="15.6" customHeight="1" x14ac:dyDescent="0.2">
      <c r="A6" s="271" t="s">
        <v>284</v>
      </c>
      <c r="B6" s="5"/>
      <c r="C6" s="5"/>
      <c r="D6" s="5"/>
      <c r="E6" s="5"/>
      <c r="F6" s="5"/>
      <c r="G6" s="6"/>
    </row>
    <row r="7" spans="1:7" s="4" customFormat="1" ht="15.6" customHeight="1" x14ac:dyDescent="0.2">
      <c r="A7" s="7"/>
      <c r="B7" s="5"/>
      <c r="C7" s="5"/>
      <c r="D7" s="5"/>
      <c r="E7" s="5"/>
      <c r="F7" s="5"/>
      <c r="G7" s="6"/>
    </row>
    <row r="8" spans="1:7" s="4" customFormat="1" ht="15.6" customHeight="1" x14ac:dyDescent="0.2">
      <c r="A8" s="273" t="s">
        <v>290</v>
      </c>
      <c r="B8" s="5"/>
      <c r="C8" s="5"/>
      <c r="D8" s="5"/>
      <c r="E8" s="5"/>
      <c r="F8" s="5"/>
      <c r="G8" s="6"/>
    </row>
    <row r="9" spans="1:7" s="4" customFormat="1" ht="15.6" customHeight="1" x14ac:dyDescent="0.2">
      <c r="A9" s="273" t="s">
        <v>287</v>
      </c>
      <c r="B9" s="5"/>
      <c r="C9" s="5"/>
      <c r="D9" s="5"/>
      <c r="E9" s="5"/>
      <c r="F9" s="5"/>
      <c r="G9" s="6"/>
    </row>
    <row r="10" spans="1:7" s="4" customFormat="1" ht="16.5" customHeight="1" thickBot="1" x14ac:dyDescent="0.25">
      <c r="A10" s="7"/>
      <c r="B10" s="5"/>
      <c r="C10" s="5"/>
      <c r="D10" s="6"/>
      <c r="E10" s="6"/>
      <c r="F10" s="6"/>
      <c r="G10" s="6"/>
    </row>
    <row r="11" spans="1:7" s="8" customFormat="1" ht="18" x14ac:dyDescent="0.2">
      <c r="A11" s="298" t="s">
        <v>218</v>
      </c>
      <c r="B11" s="299"/>
      <c r="C11" s="299"/>
      <c r="D11" s="299"/>
      <c r="E11" s="299"/>
      <c r="F11" s="300"/>
      <c r="G11" s="35"/>
    </row>
    <row r="12" spans="1:7" s="8" customFormat="1" ht="21.75" customHeight="1" x14ac:dyDescent="0.2">
      <c r="A12" s="301" t="s">
        <v>40</v>
      </c>
      <c r="B12" s="302"/>
      <c r="C12" s="302"/>
      <c r="D12" s="302"/>
      <c r="E12" s="302"/>
      <c r="F12" s="303"/>
      <c r="G12" s="35"/>
    </row>
    <row r="13" spans="1:7" s="4" customFormat="1" ht="10.9" customHeight="1" thickBot="1" x14ac:dyDescent="0.25">
      <c r="A13" s="139"/>
      <c r="B13" s="5"/>
      <c r="C13" s="5"/>
      <c r="D13" s="140"/>
      <c r="E13" s="140"/>
      <c r="F13" s="141"/>
      <c r="G13" s="6"/>
    </row>
    <row r="14" spans="1:7" s="4" customFormat="1" ht="15.75" customHeight="1" thickBot="1" x14ac:dyDescent="0.25">
      <c r="A14" s="307" t="s">
        <v>204</v>
      </c>
      <c r="B14" s="308"/>
      <c r="C14" s="308"/>
      <c r="D14" s="308"/>
      <c r="E14" s="308"/>
      <c r="F14" s="309"/>
      <c r="G14" s="6"/>
    </row>
    <row r="15" spans="1:7" s="4" customFormat="1" ht="15.75" customHeight="1" x14ac:dyDescent="0.2">
      <c r="A15" s="61" t="s">
        <v>203</v>
      </c>
      <c r="B15" s="39"/>
      <c r="C15" s="39"/>
      <c r="D15" s="233"/>
      <c r="E15" s="108" t="s">
        <v>35</v>
      </c>
      <c r="F15" s="40" t="s">
        <v>1</v>
      </c>
      <c r="G15" s="6"/>
    </row>
    <row r="16" spans="1:7" s="11" customFormat="1" ht="15.75" customHeight="1" x14ac:dyDescent="0.2">
      <c r="A16" s="117" t="str">
        <f>A53</f>
        <v>1. Mão-de-obra</v>
      </c>
      <c r="B16" s="118"/>
      <c r="C16" s="119"/>
      <c r="D16" s="119"/>
      <c r="E16" s="230">
        <f>+F127</f>
        <v>11289.097269489899</v>
      </c>
      <c r="F16" s="120">
        <f>IFERROR(E16/$E$36,0)</f>
        <v>0.36143599457848069</v>
      </c>
      <c r="G16" s="43"/>
    </row>
    <row r="17" spans="1:7" s="4" customFormat="1" ht="15.75" customHeight="1" x14ac:dyDescent="0.2">
      <c r="A17" s="48" t="str">
        <f>A55</f>
        <v>1.1. Coletor Turno Dia</v>
      </c>
      <c r="B17" s="44"/>
      <c r="C17" s="46"/>
      <c r="D17" s="46"/>
      <c r="E17" s="231">
        <f>F65</f>
        <v>6284.0476739153455</v>
      </c>
      <c r="F17" s="55">
        <f>IFERROR(E17/$E$36,0)</f>
        <v>0.20119243964161621</v>
      </c>
      <c r="G17" s="6"/>
    </row>
    <row r="18" spans="1:7" s="4" customFormat="1" ht="15.75" customHeight="1" x14ac:dyDescent="0.2">
      <c r="A18" s="48" t="str">
        <f>A67</f>
        <v>1.2. Coletor Turno Noite</v>
      </c>
      <c r="B18" s="44"/>
      <c r="C18" s="46"/>
      <c r="D18" s="46"/>
      <c r="E18" s="231">
        <f>F77</f>
        <v>0</v>
      </c>
      <c r="F18" s="55">
        <f t="shared" ref="F18:F35" si="0">IFERROR(E18/$E$36,0)</f>
        <v>0</v>
      </c>
      <c r="G18" s="6"/>
    </row>
    <row r="19" spans="1:7" s="4" customFormat="1" ht="15.75" customHeight="1" x14ac:dyDescent="0.2">
      <c r="A19" s="48" t="str">
        <f>A79</f>
        <v>1.3. Motorista Turno do Dia</v>
      </c>
      <c r="B19" s="44"/>
      <c r="C19" s="46"/>
      <c r="D19" s="46"/>
      <c r="E19" s="231">
        <f>F91</f>
        <v>4332.2815955745527</v>
      </c>
      <c r="F19" s="55">
        <f t="shared" si="0"/>
        <v>0.13870396099096494</v>
      </c>
      <c r="G19" s="6"/>
    </row>
    <row r="20" spans="1:7" s="4" customFormat="1" ht="15.75" customHeight="1" x14ac:dyDescent="0.2">
      <c r="A20" s="48" t="str">
        <f>A93</f>
        <v>1.4. Motorista Turno Noite</v>
      </c>
      <c r="B20" s="44"/>
      <c r="C20" s="46"/>
      <c r="D20" s="46"/>
      <c r="E20" s="231">
        <f>F105</f>
        <v>0</v>
      </c>
      <c r="F20" s="55">
        <f t="shared" si="0"/>
        <v>0</v>
      </c>
      <c r="G20" s="6"/>
    </row>
    <row r="21" spans="1:7" s="4" customFormat="1" ht="15.75" customHeight="1" x14ac:dyDescent="0.2">
      <c r="A21" s="48" t="str">
        <f>A107</f>
        <v>1.5. Vale Transporte</v>
      </c>
      <c r="B21" s="44"/>
      <c r="C21" s="46"/>
      <c r="D21" s="46"/>
      <c r="E21" s="231">
        <f>F113</f>
        <v>-245.23199999999997</v>
      </c>
      <c r="F21" s="55">
        <f t="shared" si="0"/>
        <v>-7.8514401733447894E-3</v>
      </c>
      <c r="G21" s="6"/>
    </row>
    <row r="22" spans="1:7" s="4" customFormat="1" ht="15.75" customHeight="1" x14ac:dyDescent="0.2">
      <c r="A22" s="48" t="str">
        <f>A115</f>
        <v>1.6. Vale-refeição (diário)</v>
      </c>
      <c r="B22" s="44"/>
      <c r="C22" s="46"/>
      <c r="D22" s="46"/>
      <c r="E22" s="231">
        <f>F119</f>
        <v>54</v>
      </c>
      <c r="F22" s="55">
        <f t="shared" si="0"/>
        <v>1.7288843599555469E-3</v>
      </c>
      <c r="G22" s="6"/>
    </row>
    <row r="23" spans="1:7" s="4" customFormat="1" ht="15.75" customHeight="1" x14ac:dyDescent="0.2">
      <c r="A23" s="48" t="str">
        <f>A121</f>
        <v>1.7. Auxílio Alimentação (mensal)</v>
      </c>
      <c r="B23" s="44"/>
      <c r="C23" s="46"/>
      <c r="D23" s="46"/>
      <c r="E23" s="231">
        <f>F125</f>
        <v>864</v>
      </c>
      <c r="F23" s="55">
        <f t="shared" si="0"/>
        <v>2.766214975928875E-2</v>
      </c>
      <c r="G23" s="6"/>
    </row>
    <row r="24" spans="1:7" s="11" customFormat="1" ht="15.75" customHeight="1" x14ac:dyDescent="0.2">
      <c r="A24" s="296" t="str">
        <f>A129</f>
        <v>2. Uniformes e Equipamentos de Proteção Individual</v>
      </c>
      <c r="B24" s="297"/>
      <c r="C24" s="297"/>
      <c r="D24" s="119"/>
      <c r="E24" s="230">
        <f>+F161</f>
        <v>267.13333333333333</v>
      </c>
      <c r="F24" s="120">
        <f t="shared" si="0"/>
        <v>8.5526415189405881E-3</v>
      </c>
      <c r="G24" s="43"/>
    </row>
    <row r="25" spans="1:7" s="11" customFormat="1" ht="15.75" customHeight="1" x14ac:dyDescent="0.2">
      <c r="A25" s="128" t="str">
        <f>A163</f>
        <v>3. Veículos e Equipamentos</v>
      </c>
      <c r="B25" s="129"/>
      <c r="C25" s="119"/>
      <c r="D25" s="119"/>
      <c r="E25" s="230">
        <f>+F240</f>
        <v>12113.279496311112</v>
      </c>
      <c r="F25" s="120">
        <f t="shared" si="0"/>
        <v>0.38782332349893495</v>
      </c>
      <c r="G25" s="43"/>
    </row>
    <row r="26" spans="1:7" s="4" customFormat="1" ht="15.75" customHeight="1" x14ac:dyDescent="0.2">
      <c r="A26" s="62" t="str">
        <f>A165</f>
        <v>3.1. Veículo Coletor Compactador 17 m³</v>
      </c>
      <c r="B26" s="45"/>
      <c r="C26" s="46"/>
      <c r="D26" s="46"/>
      <c r="E26" s="231">
        <f>SUM(E27:E32)</f>
        <v>12113.279496311112</v>
      </c>
      <c r="F26" s="134">
        <f t="shared" si="0"/>
        <v>0.38782332349893495</v>
      </c>
      <c r="G26" s="6"/>
    </row>
    <row r="27" spans="1:7" s="4" customFormat="1" ht="15.75" customHeight="1" x14ac:dyDescent="0.2">
      <c r="A27" s="62" t="str">
        <f>A167</f>
        <v>3.1.1. Depreciação</v>
      </c>
      <c r="B27" s="45"/>
      <c r="C27" s="46"/>
      <c r="D27" s="46"/>
      <c r="E27" s="231">
        <f>F181</f>
        <v>5748.2027520000001</v>
      </c>
      <c r="F27" s="134">
        <f t="shared" si="0"/>
        <v>0.18403662658863396</v>
      </c>
      <c r="G27" s="6"/>
    </row>
    <row r="28" spans="1:7" s="4" customFormat="1" ht="15.75" customHeight="1" x14ac:dyDescent="0.2">
      <c r="A28" s="62" t="str">
        <f>A183</f>
        <v>3.1.2. Remuneração do Capital</v>
      </c>
      <c r="B28" s="45"/>
      <c r="C28" s="46"/>
      <c r="D28" s="46"/>
      <c r="E28" s="231">
        <f>F197</f>
        <v>5516.7467432000003</v>
      </c>
      <c r="F28" s="134">
        <f t="shared" si="0"/>
        <v>0.17662624374359592</v>
      </c>
      <c r="G28" s="6"/>
    </row>
    <row r="29" spans="1:7" s="4" customFormat="1" ht="15.75" customHeight="1" x14ac:dyDescent="0.2">
      <c r="A29" s="62" t="str">
        <f>A199</f>
        <v>3.1.3. Impostos e Seguros</v>
      </c>
      <c r="B29" s="45"/>
      <c r="C29" s="46"/>
      <c r="D29" s="46"/>
      <c r="E29" s="231">
        <f>F205</f>
        <v>382.84866666666676</v>
      </c>
      <c r="F29" s="134">
        <f t="shared" si="0"/>
        <v>1.2257427259811753E-2</v>
      </c>
      <c r="G29" s="6"/>
    </row>
    <row r="30" spans="1:7" s="4" customFormat="1" ht="15.75" customHeight="1" x14ac:dyDescent="0.2">
      <c r="A30" s="62" t="str">
        <f>A207</f>
        <v>3.1.4. Consumos</v>
      </c>
      <c r="B30" s="45"/>
      <c r="C30" s="46"/>
      <c r="D30" s="46"/>
      <c r="E30" s="231">
        <f>F223</f>
        <v>336.32408444444445</v>
      </c>
      <c r="F30" s="134">
        <f t="shared" si="0"/>
        <v>1.0767878693932753E-2</v>
      </c>
      <c r="G30" s="6"/>
    </row>
    <row r="31" spans="1:7" s="4" customFormat="1" ht="15.75" customHeight="1" x14ac:dyDescent="0.2">
      <c r="A31" s="62" t="str">
        <f>A225</f>
        <v>3.1.5. Manutenção</v>
      </c>
      <c r="B31" s="45"/>
      <c r="C31" s="46"/>
      <c r="D31" s="46"/>
      <c r="E31" s="231">
        <f>F228</f>
        <v>74</v>
      </c>
      <c r="F31" s="134">
        <f t="shared" si="0"/>
        <v>2.3692119006798237E-3</v>
      </c>
      <c r="G31" s="6"/>
    </row>
    <row r="32" spans="1:7" s="4" customFormat="1" ht="15.75" customHeight="1" x14ac:dyDescent="0.2">
      <c r="A32" s="62" t="str">
        <f>A230</f>
        <v>3.1.6. Pneus</v>
      </c>
      <c r="B32" s="45"/>
      <c r="C32" s="46"/>
      <c r="D32" s="46"/>
      <c r="E32" s="231">
        <f>F237</f>
        <v>55.157250000000005</v>
      </c>
      <c r="F32" s="134">
        <f t="shared" si="0"/>
        <v>1.7659353122807056E-3</v>
      </c>
      <c r="G32" s="6"/>
    </row>
    <row r="33" spans="1:7" s="11" customFormat="1" ht="15.75" customHeight="1" x14ac:dyDescent="0.2">
      <c r="A33" s="128" t="str">
        <f>A242</f>
        <v>4. Ferramentas e Materiais de Consumo</v>
      </c>
      <c r="B33" s="129"/>
      <c r="C33" s="119"/>
      <c r="D33" s="119"/>
      <c r="E33" s="230">
        <f>+F252</f>
        <v>31.227499999999992</v>
      </c>
      <c r="F33" s="120">
        <f t="shared" si="0"/>
        <v>9.9979141389836728E-4</v>
      </c>
      <c r="G33" s="43"/>
    </row>
    <row r="34" spans="1:7" s="11" customFormat="1" ht="15.75" customHeight="1" x14ac:dyDescent="0.2">
      <c r="A34" s="128" t="str">
        <f>A254</f>
        <v>5. Monitoramento da Frota</v>
      </c>
      <c r="B34" s="129"/>
      <c r="C34" s="119"/>
      <c r="D34" s="119"/>
      <c r="E34" s="230">
        <f>+F263</f>
        <v>85.733333333333348</v>
      </c>
      <c r="F34" s="120">
        <f t="shared" si="0"/>
        <v>2.7448707245713998E-3</v>
      </c>
      <c r="G34" s="43"/>
    </row>
    <row r="35" spans="1:7" s="11" customFormat="1" ht="15.75" customHeight="1" thickBot="1" x14ac:dyDescent="0.25">
      <c r="A35" s="128" t="str">
        <f>A267</f>
        <v>6. Benefícios e Despesas Indiretas - BDI</v>
      </c>
      <c r="B35" s="129"/>
      <c r="C35" s="119"/>
      <c r="D35" s="119"/>
      <c r="E35" s="232">
        <f>+F273</f>
        <v>7447.5440489556295</v>
      </c>
      <c r="F35" s="120">
        <f t="shared" si="0"/>
        <v>0.23844337826517401</v>
      </c>
      <c r="G35" s="43"/>
    </row>
    <row r="36" spans="1:7" s="4" customFormat="1" ht="15.75" customHeight="1" thickBot="1" x14ac:dyDescent="0.25">
      <c r="A36" s="41" t="s">
        <v>238</v>
      </c>
      <c r="B36" s="42"/>
      <c r="C36" s="26"/>
      <c r="D36" s="26"/>
      <c r="E36" s="107">
        <f>E16+E24+E25+E33+E34+E35</f>
        <v>31234.014981423308</v>
      </c>
      <c r="F36" s="133">
        <f>F16+F24+F25+F33+F34+F35</f>
        <v>1</v>
      </c>
      <c r="G36" s="6"/>
    </row>
    <row r="38" spans="1:7" ht="13.5" thickBot="1" x14ac:dyDescent="0.25"/>
    <row r="39" spans="1:7" s="4" customFormat="1" ht="15" customHeight="1" thickBot="1" x14ac:dyDescent="0.25">
      <c r="A39" s="307" t="s">
        <v>95</v>
      </c>
      <c r="B39" s="308"/>
      <c r="C39" s="308"/>
      <c r="D39" s="308"/>
      <c r="E39" s="309"/>
      <c r="F39" s="10"/>
      <c r="G39" s="6"/>
    </row>
    <row r="40" spans="1:7" s="4" customFormat="1" ht="15" customHeight="1" thickBot="1" x14ac:dyDescent="0.25">
      <c r="A40" s="304" t="s">
        <v>36</v>
      </c>
      <c r="B40" s="305"/>
      <c r="C40" s="305"/>
      <c r="D40" s="306"/>
      <c r="E40" s="47" t="s">
        <v>37</v>
      </c>
      <c r="F40" s="10"/>
      <c r="G40" s="6"/>
    </row>
    <row r="41" spans="1:7" s="4" customFormat="1" ht="15" customHeight="1" x14ac:dyDescent="0.2">
      <c r="A41" s="70" t="str">
        <f>+A55</f>
        <v>1.1. Coletor Turno Dia</v>
      </c>
      <c r="B41" s="71"/>
      <c r="C41" s="71"/>
      <c r="D41" s="72"/>
      <c r="E41" s="73">
        <f>C64</f>
        <v>2</v>
      </c>
      <c r="F41" s="10"/>
      <c r="G41" s="6"/>
    </row>
    <row r="42" spans="1:7" s="4" customFormat="1" ht="15" customHeight="1" x14ac:dyDescent="0.2">
      <c r="A42" s="64" t="str">
        <f>+A67</f>
        <v>1.2. Coletor Turno Noite</v>
      </c>
      <c r="B42" s="63"/>
      <c r="C42" s="63"/>
      <c r="D42" s="74"/>
      <c r="E42" s="67">
        <f>C76</f>
        <v>0</v>
      </c>
      <c r="F42" s="10"/>
      <c r="G42" s="6"/>
    </row>
    <row r="43" spans="1:7" s="4" customFormat="1" ht="15" customHeight="1" x14ac:dyDescent="0.2">
      <c r="A43" s="64" t="str">
        <f>+A79</f>
        <v>1.3. Motorista Turno do Dia</v>
      </c>
      <c r="B43" s="63"/>
      <c r="C43" s="63"/>
      <c r="D43" s="74"/>
      <c r="E43" s="67">
        <f>C90</f>
        <v>1</v>
      </c>
      <c r="F43" s="10"/>
      <c r="G43" s="6"/>
    </row>
    <row r="44" spans="1:7" s="4" customFormat="1" ht="15" customHeight="1" x14ac:dyDescent="0.2">
      <c r="A44" s="64" t="str">
        <f>+A93</f>
        <v>1.4. Motorista Turno Noite</v>
      </c>
      <c r="B44" s="63"/>
      <c r="C44" s="63"/>
      <c r="D44" s="74"/>
      <c r="E44" s="67">
        <f>C104</f>
        <v>0</v>
      </c>
      <c r="F44" s="10"/>
      <c r="G44" s="6"/>
    </row>
    <row r="45" spans="1:7" s="4" customFormat="1" ht="15" customHeight="1" thickBot="1" x14ac:dyDescent="0.25">
      <c r="A45" s="68" t="s">
        <v>56</v>
      </c>
      <c r="B45" s="69"/>
      <c r="C45" s="69"/>
      <c r="D45" s="75"/>
      <c r="E45" s="76">
        <f>SUM(E41:E44)</f>
        <v>3</v>
      </c>
      <c r="F45" s="10"/>
      <c r="G45" s="6"/>
    </row>
    <row r="46" spans="1:7" s="4" customFormat="1" ht="15" customHeight="1" thickBot="1" x14ac:dyDescent="0.25">
      <c r="A46" s="121"/>
      <c r="B46" s="122"/>
      <c r="C46" s="56"/>
      <c r="D46" s="56"/>
      <c r="E46" s="123"/>
      <c r="F46" s="10"/>
      <c r="G46" s="6"/>
    </row>
    <row r="47" spans="1:7" s="4" customFormat="1" ht="15" customHeight="1" x14ac:dyDescent="0.2">
      <c r="A47" s="294" t="s">
        <v>53</v>
      </c>
      <c r="B47" s="295"/>
      <c r="C47" s="295"/>
      <c r="D47" s="295"/>
      <c r="E47" s="47" t="s">
        <v>37</v>
      </c>
      <c r="F47" s="9"/>
      <c r="G47" s="6"/>
    </row>
    <row r="48" spans="1:7" s="4" customFormat="1" ht="15" customHeight="1" thickBot="1" x14ac:dyDescent="0.25">
      <c r="A48" s="124" t="str">
        <f>+A165</f>
        <v>3.1. Veículo Coletor Compactador 17 m³</v>
      </c>
      <c r="B48" s="125"/>
      <c r="C48" s="125"/>
      <c r="D48" s="126"/>
      <c r="E48" s="127">
        <f>C180</f>
        <v>1</v>
      </c>
      <c r="F48" s="9"/>
      <c r="G48" s="6"/>
    </row>
    <row r="49" spans="1:7" s="4" customFormat="1" ht="15" customHeight="1" x14ac:dyDescent="0.2">
      <c r="A49" s="56"/>
      <c r="B49" s="56"/>
      <c r="C49" s="56"/>
      <c r="D49" s="9"/>
      <c r="E49" s="229"/>
      <c r="F49" s="9"/>
      <c r="G49" s="6"/>
    </row>
    <row r="50" spans="1:7" s="4" customFormat="1" ht="13.5" thickBot="1" x14ac:dyDescent="0.25">
      <c r="A50" s="56"/>
      <c r="B50" s="56"/>
      <c r="C50" s="56"/>
      <c r="D50" s="9"/>
      <c r="E50" s="65"/>
      <c r="F50" s="9"/>
      <c r="G50" s="6"/>
    </row>
    <row r="51" spans="1:7" s="11" customFormat="1" ht="15.75" customHeight="1" thickBot="1" x14ac:dyDescent="0.25">
      <c r="A51" s="234" t="s">
        <v>198</v>
      </c>
      <c r="B51" s="235">
        <v>0.8</v>
      </c>
      <c r="C51" s="34"/>
      <c r="E51" s="142"/>
      <c r="G51" s="43"/>
    </row>
    <row r="52" spans="1:7" s="4" customFormat="1" ht="15.75" customHeight="1" x14ac:dyDescent="0.2">
      <c r="A52" s="56"/>
      <c r="B52" s="56"/>
      <c r="C52" s="56"/>
      <c r="D52" s="9"/>
      <c r="E52" s="65"/>
      <c r="F52" s="9"/>
      <c r="G52" s="6"/>
    </row>
    <row r="53" spans="1:7" ht="13.15" customHeight="1" x14ac:dyDescent="0.2">
      <c r="A53" s="11" t="s">
        <v>44</v>
      </c>
    </row>
    <row r="54" spans="1:7" ht="11.25" customHeight="1" x14ac:dyDescent="0.2"/>
    <row r="55" spans="1:7" ht="13.9" customHeight="1" thickBot="1" x14ac:dyDescent="0.25">
      <c r="A55" s="9" t="s">
        <v>97</v>
      </c>
    </row>
    <row r="56" spans="1:7" ht="13.9" customHeight="1" thickBot="1" x14ac:dyDescent="0.25">
      <c r="A56" s="57" t="s">
        <v>61</v>
      </c>
      <c r="B56" s="58" t="s">
        <v>62</v>
      </c>
      <c r="C56" s="58" t="s">
        <v>37</v>
      </c>
      <c r="D56" s="59" t="s">
        <v>234</v>
      </c>
      <c r="E56" s="59" t="s">
        <v>63</v>
      </c>
      <c r="F56" s="60" t="s">
        <v>64</v>
      </c>
    </row>
    <row r="57" spans="1:7" ht="13.15" customHeight="1" x14ac:dyDescent="0.2">
      <c r="A57" s="13" t="s">
        <v>214</v>
      </c>
      <c r="B57" s="14" t="s">
        <v>7</v>
      </c>
      <c r="C57" s="14">
        <v>1</v>
      </c>
      <c r="D57" s="81">
        <v>1521</v>
      </c>
      <c r="E57" s="15">
        <f>C57*D57</f>
        <v>1521</v>
      </c>
    </row>
    <row r="58" spans="1:7" ht="13.15" customHeight="1" x14ac:dyDescent="0.2">
      <c r="A58" s="283" t="s">
        <v>303</v>
      </c>
      <c r="B58" s="291" t="s">
        <v>304</v>
      </c>
      <c r="C58" s="292">
        <v>5</v>
      </c>
      <c r="D58" s="287">
        <f>D57/220*2</f>
        <v>13.827272727272728</v>
      </c>
      <c r="E58" s="287">
        <f>C58*D58</f>
        <v>69.13636363636364</v>
      </c>
      <c r="F58" s="293"/>
    </row>
    <row r="59" spans="1:7" ht="13.15" customHeight="1" x14ac:dyDescent="0.2">
      <c r="A59" s="283" t="s">
        <v>305</v>
      </c>
      <c r="B59" s="291" t="s">
        <v>304</v>
      </c>
      <c r="C59" s="292">
        <v>10</v>
      </c>
      <c r="D59" s="287">
        <f>D57/220*1.5</f>
        <v>10.370454545454546</v>
      </c>
      <c r="E59" s="287">
        <f>C59*D59</f>
        <v>103.70454545454547</v>
      </c>
      <c r="F59" s="293"/>
    </row>
    <row r="60" spans="1:7" x14ac:dyDescent="0.2">
      <c r="A60" s="16" t="s">
        <v>0</v>
      </c>
      <c r="B60" s="17" t="s">
        <v>1</v>
      </c>
      <c r="C60" s="17">
        <v>40</v>
      </c>
      <c r="D60" s="77">
        <f>SUM(E57:E57)</f>
        <v>1521</v>
      </c>
      <c r="E60" s="18">
        <f>C60*D60/100</f>
        <v>608.4</v>
      </c>
    </row>
    <row r="61" spans="1:7" x14ac:dyDescent="0.2">
      <c r="A61" s="109" t="s">
        <v>2</v>
      </c>
      <c r="B61" s="110"/>
      <c r="C61" s="110"/>
      <c r="D61" s="111"/>
      <c r="E61" s="112">
        <f>SUM(E57:E60)</f>
        <v>2302.2409090909091</v>
      </c>
    </row>
    <row r="62" spans="1:7" x14ac:dyDescent="0.2">
      <c r="A62" s="16" t="s">
        <v>3</v>
      </c>
      <c r="B62" s="17" t="s">
        <v>1</v>
      </c>
      <c r="C62" s="131">
        <f>'2.Encargos Sociais'!$C$37*100</f>
        <v>70.595951999999997</v>
      </c>
      <c r="D62" s="18">
        <f>E61</f>
        <v>2302.2409090909091</v>
      </c>
      <c r="E62" s="18">
        <f>D62*C62/100</f>
        <v>1625.2888871061816</v>
      </c>
    </row>
    <row r="63" spans="1:7" x14ac:dyDescent="0.2">
      <c r="A63" s="109" t="s">
        <v>70</v>
      </c>
      <c r="B63" s="110"/>
      <c r="C63" s="110"/>
      <c r="D63" s="111"/>
      <c r="E63" s="112">
        <f>E61+E62</f>
        <v>3927.5297961970909</v>
      </c>
    </row>
    <row r="64" spans="1:7" ht="13.5" thickBot="1" x14ac:dyDescent="0.25">
      <c r="A64" s="16" t="s">
        <v>4</v>
      </c>
      <c r="B64" s="17" t="s">
        <v>5</v>
      </c>
      <c r="C64" s="80">
        <v>2</v>
      </c>
      <c r="D64" s="18">
        <f>E63</f>
        <v>3927.5297961970909</v>
      </c>
      <c r="E64" s="18">
        <f>C64*D64</f>
        <v>7855.0595923941819</v>
      </c>
      <c r="G64" s="6"/>
    </row>
    <row r="65" spans="1:7" ht="13.9" customHeight="1" thickBot="1" x14ac:dyDescent="0.25">
      <c r="D65" s="115" t="s">
        <v>197</v>
      </c>
      <c r="E65" s="49">
        <f>$B$51</f>
        <v>0.8</v>
      </c>
      <c r="F65" s="116">
        <f>E64*E65</f>
        <v>6284.0476739153455</v>
      </c>
      <c r="G65" s="6"/>
    </row>
    <row r="66" spans="1:7" ht="11.25" customHeight="1" x14ac:dyDescent="0.2"/>
    <row r="67" spans="1:7" ht="13.5" thickBot="1" x14ac:dyDescent="0.25">
      <c r="A67" s="9" t="s">
        <v>89</v>
      </c>
    </row>
    <row r="68" spans="1:7" ht="13.5" thickBot="1" x14ac:dyDescent="0.25">
      <c r="A68" s="57" t="s">
        <v>61</v>
      </c>
      <c r="B68" s="58" t="s">
        <v>62</v>
      </c>
      <c r="C68" s="58" t="s">
        <v>37</v>
      </c>
      <c r="D68" s="59" t="s">
        <v>234</v>
      </c>
      <c r="E68" s="59" t="s">
        <v>63</v>
      </c>
      <c r="F68" s="60" t="s">
        <v>64</v>
      </c>
    </row>
    <row r="69" spans="1:7" x14ac:dyDescent="0.2">
      <c r="A69" s="13" t="s">
        <v>214</v>
      </c>
      <c r="B69" s="14" t="s">
        <v>7</v>
      </c>
      <c r="C69" s="14">
        <v>1</v>
      </c>
      <c r="D69" s="15">
        <f>D57</f>
        <v>1521</v>
      </c>
      <c r="E69" s="15">
        <f>C69*D69</f>
        <v>1521</v>
      </c>
    </row>
    <row r="70" spans="1:7" x14ac:dyDescent="0.2">
      <c r="A70" s="16" t="s">
        <v>6</v>
      </c>
      <c r="B70" s="17" t="s">
        <v>96</v>
      </c>
      <c r="C70" s="82">
        <v>0</v>
      </c>
      <c r="D70" s="18"/>
      <c r="E70" s="18"/>
    </row>
    <row r="71" spans="1:7" x14ac:dyDescent="0.2">
      <c r="A71" s="16"/>
      <c r="B71" s="17" t="s">
        <v>100</v>
      </c>
      <c r="C71" s="113">
        <f>C70*8/7</f>
        <v>0</v>
      </c>
      <c r="D71" s="18">
        <f>D69/220*0.2</f>
        <v>1.3827272727272728</v>
      </c>
      <c r="E71" s="18">
        <f>C71*D71</f>
        <v>0</v>
      </c>
    </row>
    <row r="72" spans="1:7" x14ac:dyDescent="0.2">
      <c r="A72" s="16" t="s">
        <v>0</v>
      </c>
      <c r="B72" s="17" t="s">
        <v>1</v>
      </c>
      <c r="C72" s="17">
        <f>+C60</f>
        <v>40</v>
      </c>
      <c r="D72" s="77">
        <f>SUM(E69:E71)</f>
        <v>1521</v>
      </c>
      <c r="E72" s="18">
        <f>C72*D72/100</f>
        <v>608.4</v>
      </c>
    </row>
    <row r="73" spans="1:7" x14ac:dyDescent="0.2">
      <c r="A73" s="109" t="s">
        <v>2</v>
      </c>
      <c r="B73" s="110"/>
      <c r="C73" s="110"/>
      <c r="D73" s="111"/>
      <c r="E73" s="112">
        <f>SUM(E69:E72)</f>
        <v>2129.4</v>
      </c>
    </row>
    <row r="74" spans="1:7" x14ac:dyDescent="0.2">
      <c r="A74" s="16" t="s">
        <v>3</v>
      </c>
      <c r="B74" s="17" t="s">
        <v>1</v>
      </c>
      <c r="C74" s="131">
        <f>'2.Encargos Sociais'!$C$37*100</f>
        <v>70.595951999999997</v>
      </c>
      <c r="D74" s="18">
        <f>E73</f>
        <v>2129.4</v>
      </c>
      <c r="E74" s="18">
        <f>D74*C74/100</f>
        <v>1503.270201888</v>
      </c>
    </row>
    <row r="75" spans="1:7" x14ac:dyDescent="0.2">
      <c r="A75" s="109" t="s">
        <v>70</v>
      </c>
      <c r="B75" s="110"/>
      <c r="C75" s="110"/>
      <c r="D75" s="111"/>
      <c r="E75" s="112">
        <f>E73+E74</f>
        <v>3632.6702018880001</v>
      </c>
    </row>
    <row r="76" spans="1:7" ht="13.5" thickBot="1" x14ac:dyDescent="0.25">
      <c r="A76" s="16" t="s">
        <v>4</v>
      </c>
      <c r="B76" s="17" t="s">
        <v>5</v>
      </c>
      <c r="C76" s="80">
        <v>0</v>
      </c>
      <c r="D76" s="18">
        <f>E75</f>
        <v>3632.6702018880001</v>
      </c>
      <c r="E76" s="18">
        <f>C76*D76</f>
        <v>0</v>
      </c>
    </row>
    <row r="77" spans="1:7" ht="13.5" thickBot="1" x14ac:dyDescent="0.25">
      <c r="D77" s="115" t="s">
        <v>197</v>
      </c>
      <c r="E77" s="49">
        <f>$B$51</f>
        <v>0.8</v>
      </c>
      <c r="F77" s="116">
        <f>E76*E77</f>
        <v>0</v>
      </c>
    </row>
    <row r="78" spans="1:7" ht="11.25" customHeight="1" x14ac:dyDescent="0.2"/>
    <row r="79" spans="1:7" ht="13.5" thickBot="1" x14ac:dyDescent="0.25">
      <c r="A79" s="9" t="s">
        <v>98</v>
      </c>
    </row>
    <row r="80" spans="1:7" s="12" customFormat="1" ht="13.15" customHeight="1" thickBot="1" x14ac:dyDescent="0.25">
      <c r="A80" s="57" t="s">
        <v>61</v>
      </c>
      <c r="B80" s="58" t="s">
        <v>62</v>
      </c>
      <c r="C80" s="58" t="s">
        <v>37</v>
      </c>
      <c r="D80" s="59" t="s">
        <v>234</v>
      </c>
      <c r="E80" s="59" t="s">
        <v>63</v>
      </c>
      <c r="F80" s="60" t="s">
        <v>64</v>
      </c>
      <c r="G80" s="10"/>
    </row>
    <row r="81" spans="1:7" x14ac:dyDescent="0.2">
      <c r="A81" s="275" t="s">
        <v>288</v>
      </c>
      <c r="B81" s="14" t="s">
        <v>7</v>
      </c>
      <c r="C81" s="14">
        <v>1</v>
      </c>
      <c r="D81" s="81">
        <v>2271.36</v>
      </c>
      <c r="E81" s="15">
        <f>C81*D81</f>
        <v>2271.36</v>
      </c>
    </row>
    <row r="82" spans="1:7" x14ac:dyDescent="0.2">
      <c r="A82" s="275" t="s">
        <v>289</v>
      </c>
      <c r="B82" s="14" t="s">
        <v>7</v>
      </c>
      <c r="C82" s="14">
        <v>1</v>
      </c>
      <c r="D82" s="81">
        <v>1612.26</v>
      </c>
      <c r="E82" s="15"/>
    </row>
    <row r="83" spans="1:7" x14ac:dyDescent="0.2">
      <c r="A83" s="283" t="s">
        <v>303</v>
      </c>
      <c r="B83" s="291" t="s">
        <v>304</v>
      </c>
      <c r="C83" s="292">
        <v>5</v>
      </c>
      <c r="D83" s="287">
        <f>D81/220*2</f>
        <v>20.648727272727275</v>
      </c>
      <c r="E83" s="287">
        <f>C83*D83</f>
        <v>103.24363636363637</v>
      </c>
      <c r="F83" s="293"/>
    </row>
    <row r="84" spans="1:7" x14ac:dyDescent="0.2">
      <c r="A84" s="283" t="s">
        <v>305</v>
      </c>
      <c r="B84" s="291" t="s">
        <v>304</v>
      </c>
      <c r="C84" s="292">
        <v>10</v>
      </c>
      <c r="D84" s="287">
        <f>D81/220*1.5</f>
        <v>15.486545454545457</v>
      </c>
      <c r="E84" s="287">
        <f>C84*D84</f>
        <v>154.86545454545455</v>
      </c>
      <c r="F84" s="293"/>
    </row>
    <row r="85" spans="1:7" x14ac:dyDescent="0.2">
      <c r="A85" s="16" t="s">
        <v>215</v>
      </c>
      <c r="B85" s="17"/>
      <c r="C85" s="84">
        <v>1</v>
      </c>
      <c r="D85" s="18"/>
      <c r="E85" s="18"/>
    </row>
    <row r="86" spans="1:7" x14ac:dyDescent="0.2">
      <c r="A86" s="16" t="s">
        <v>0</v>
      </c>
      <c r="B86" s="17" t="s">
        <v>1</v>
      </c>
      <c r="C86" s="80">
        <v>40</v>
      </c>
      <c r="D86" s="77">
        <f>IF(C85=2,SUM(E81:E82),IF(C85=1,(SUM(E81:E82))*D82/D81,0))</f>
        <v>1612.26</v>
      </c>
      <c r="E86" s="18">
        <f>C86*D86/100</f>
        <v>644.904</v>
      </c>
    </row>
    <row r="87" spans="1:7" s="11" customFormat="1" x14ac:dyDescent="0.2">
      <c r="A87" s="96" t="s">
        <v>2</v>
      </c>
      <c r="B87" s="110"/>
      <c r="C87" s="110"/>
      <c r="D87" s="111"/>
      <c r="E87" s="98">
        <f>SUM(E81:E86)</f>
        <v>3174.3730909090914</v>
      </c>
      <c r="F87" s="43"/>
      <c r="G87" s="43"/>
    </row>
    <row r="88" spans="1:7" x14ac:dyDescent="0.2">
      <c r="A88" s="16" t="s">
        <v>3</v>
      </c>
      <c r="B88" s="17" t="s">
        <v>1</v>
      </c>
      <c r="C88" s="131">
        <f>'2.Encargos Sociais'!$C$37*100</f>
        <v>70.595951999999997</v>
      </c>
      <c r="D88" s="18">
        <f>E87</f>
        <v>3174.3730909090914</v>
      </c>
      <c r="E88" s="18">
        <f>D88*C88/100</f>
        <v>2240.9789035590984</v>
      </c>
    </row>
    <row r="89" spans="1:7" s="11" customFormat="1" x14ac:dyDescent="0.2">
      <c r="A89" s="96" t="s">
        <v>249</v>
      </c>
      <c r="B89" s="241"/>
      <c r="C89" s="241"/>
      <c r="D89" s="242"/>
      <c r="E89" s="98">
        <f>E87+E88</f>
        <v>5415.3519944681902</v>
      </c>
      <c r="F89" s="43"/>
      <c r="G89" s="43"/>
    </row>
    <row r="90" spans="1:7" ht="13.5" thickBot="1" x14ac:dyDescent="0.25">
      <c r="A90" s="16" t="s">
        <v>4</v>
      </c>
      <c r="B90" s="17" t="s">
        <v>5</v>
      </c>
      <c r="C90" s="80">
        <v>1</v>
      </c>
      <c r="D90" s="18">
        <f>E89</f>
        <v>5415.3519944681902</v>
      </c>
      <c r="E90" s="18">
        <f>C90*D90</f>
        <v>5415.3519944681902</v>
      </c>
    </row>
    <row r="91" spans="1:7" ht="13.5" thickBot="1" x14ac:dyDescent="0.25">
      <c r="D91" s="115" t="s">
        <v>197</v>
      </c>
      <c r="E91" s="49">
        <f>$B$51</f>
        <v>0.8</v>
      </c>
      <c r="F91" s="116">
        <f>E90*E91</f>
        <v>4332.2815955745527</v>
      </c>
    </row>
    <row r="92" spans="1:7" ht="11.25" customHeight="1" x14ac:dyDescent="0.2"/>
    <row r="93" spans="1:7" ht="13.5" thickBot="1" x14ac:dyDescent="0.25">
      <c r="A93" s="9" t="s">
        <v>99</v>
      </c>
    </row>
    <row r="94" spans="1:7" ht="13.5" thickBot="1" x14ac:dyDescent="0.25">
      <c r="A94" s="57" t="s">
        <v>61</v>
      </c>
      <c r="B94" s="58" t="s">
        <v>62</v>
      </c>
      <c r="C94" s="58" t="s">
        <v>37</v>
      </c>
      <c r="D94" s="59" t="s">
        <v>234</v>
      </c>
      <c r="E94" s="59" t="s">
        <v>63</v>
      </c>
      <c r="F94" s="60" t="s">
        <v>64</v>
      </c>
    </row>
    <row r="95" spans="1:7" x14ac:dyDescent="0.2">
      <c r="A95" s="275" t="s">
        <v>288</v>
      </c>
      <c r="B95" s="14" t="s">
        <v>7</v>
      </c>
      <c r="C95" s="14">
        <v>1</v>
      </c>
      <c r="D95" s="15">
        <f>D81</f>
        <v>2271.36</v>
      </c>
      <c r="E95" s="15">
        <f>C95*D95</f>
        <v>2271.36</v>
      </c>
    </row>
    <row r="96" spans="1:7" x14ac:dyDescent="0.2">
      <c r="A96" s="275" t="s">
        <v>289</v>
      </c>
      <c r="B96" s="14" t="s">
        <v>7</v>
      </c>
      <c r="C96" s="14">
        <v>1</v>
      </c>
      <c r="D96" s="18">
        <f>D82</f>
        <v>1612.26</v>
      </c>
      <c r="E96" s="18"/>
    </row>
    <row r="97" spans="1:7" x14ac:dyDescent="0.2">
      <c r="A97" s="16" t="s">
        <v>6</v>
      </c>
      <c r="B97" s="17" t="s">
        <v>96</v>
      </c>
      <c r="C97" s="82">
        <v>0</v>
      </c>
      <c r="D97" s="16"/>
      <c r="E97" s="16"/>
    </row>
    <row r="98" spans="1:7" x14ac:dyDescent="0.2">
      <c r="A98" s="16"/>
      <c r="B98" s="17" t="s">
        <v>100</v>
      </c>
      <c r="C98" s="18">
        <f>C97*8/7</f>
        <v>0</v>
      </c>
      <c r="D98" s="18">
        <f>D95/220*0.2</f>
        <v>2.0648727272727276</v>
      </c>
      <c r="E98" s="18">
        <f>C98*D98</f>
        <v>0</v>
      </c>
    </row>
    <row r="99" spans="1:7" x14ac:dyDescent="0.2">
      <c r="A99" s="16" t="s">
        <v>215</v>
      </c>
      <c r="B99" s="17"/>
      <c r="C99" s="84">
        <v>0</v>
      </c>
      <c r="D99" s="18"/>
      <c r="E99" s="18"/>
    </row>
    <row r="100" spans="1:7" x14ac:dyDescent="0.2">
      <c r="A100" s="16" t="s">
        <v>0</v>
      </c>
      <c r="B100" s="17" t="s">
        <v>1</v>
      </c>
      <c r="C100" s="77">
        <f>+C86</f>
        <v>40</v>
      </c>
      <c r="D100" s="77">
        <f>IF(C99=2,SUM(E95:E98),IF(C99=1,SUM(E95:E98)*D96/D95,0))</f>
        <v>0</v>
      </c>
      <c r="E100" s="18">
        <f>C100*D100/100</f>
        <v>0</v>
      </c>
    </row>
    <row r="101" spans="1:7" s="11" customFormat="1" x14ac:dyDescent="0.2">
      <c r="A101" s="109" t="s">
        <v>2</v>
      </c>
      <c r="B101" s="110"/>
      <c r="C101" s="110"/>
      <c r="D101" s="111"/>
      <c r="E101" s="112">
        <f>SUM(E95:E100)</f>
        <v>2271.36</v>
      </c>
      <c r="F101" s="43"/>
      <c r="G101" s="43"/>
    </row>
    <row r="102" spans="1:7" x14ac:dyDescent="0.2">
      <c r="A102" s="16" t="s">
        <v>3</v>
      </c>
      <c r="B102" s="17" t="s">
        <v>1</v>
      </c>
      <c r="C102" s="131">
        <f>'2.Encargos Sociais'!$C$37*100</f>
        <v>70.595951999999997</v>
      </c>
      <c r="D102" s="18">
        <f>E101</f>
        <v>2271.36</v>
      </c>
      <c r="E102" s="18">
        <f>D102*C102/100</f>
        <v>1603.4882153471999</v>
      </c>
    </row>
    <row r="103" spans="1:7" s="11" customFormat="1" x14ac:dyDescent="0.2">
      <c r="A103" s="109" t="s">
        <v>249</v>
      </c>
      <c r="B103" s="110"/>
      <c r="C103" s="110"/>
      <c r="D103" s="111"/>
      <c r="E103" s="112">
        <f>E101+E102</f>
        <v>3874.8482153472</v>
      </c>
      <c r="F103" s="43"/>
      <c r="G103" s="43"/>
    </row>
    <row r="104" spans="1:7" ht="13.5" thickBot="1" x14ac:dyDescent="0.25">
      <c r="A104" s="16" t="s">
        <v>4</v>
      </c>
      <c r="B104" s="17" t="s">
        <v>5</v>
      </c>
      <c r="C104" s="80">
        <v>0</v>
      </c>
      <c r="D104" s="18">
        <f>E103</f>
        <v>3874.8482153472</v>
      </c>
      <c r="E104" s="18">
        <f>C104*D104</f>
        <v>0</v>
      </c>
    </row>
    <row r="105" spans="1:7" ht="13.5" thickBot="1" x14ac:dyDescent="0.25">
      <c r="D105" s="115" t="s">
        <v>197</v>
      </c>
      <c r="E105" s="49">
        <f>$B$51</f>
        <v>0.8</v>
      </c>
      <c r="F105" s="116">
        <f>E104*E105</f>
        <v>0</v>
      </c>
    </row>
    <row r="106" spans="1:7" ht="11.25" customHeight="1" x14ac:dyDescent="0.2">
      <c r="G106" s="9"/>
    </row>
    <row r="107" spans="1:7" ht="13.5" thickBot="1" x14ac:dyDescent="0.25">
      <c r="A107" s="9" t="s">
        <v>101</v>
      </c>
      <c r="B107" s="87"/>
      <c r="D107" s="9"/>
      <c r="E107" s="9"/>
      <c r="G107" s="9"/>
    </row>
    <row r="108" spans="1:7" ht="13.5" thickBot="1" x14ac:dyDescent="0.25">
      <c r="A108" s="57" t="s">
        <v>61</v>
      </c>
      <c r="B108" s="58" t="s">
        <v>62</v>
      </c>
      <c r="C108" s="58" t="s">
        <v>37</v>
      </c>
      <c r="D108" s="59" t="s">
        <v>234</v>
      </c>
      <c r="E108" s="59" t="s">
        <v>63</v>
      </c>
      <c r="F108" s="60" t="s">
        <v>64</v>
      </c>
      <c r="G108" s="9"/>
    </row>
    <row r="109" spans="1:7" x14ac:dyDescent="0.2">
      <c r="A109" s="16" t="s">
        <v>90</v>
      </c>
      <c r="B109" s="17" t="s">
        <v>32</v>
      </c>
      <c r="C109" s="88">
        <v>1</v>
      </c>
      <c r="D109" s="86"/>
      <c r="E109" s="18"/>
      <c r="G109" s="9"/>
    </row>
    <row r="110" spans="1:7" x14ac:dyDescent="0.2">
      <c r="A110" s="16" t="s">
        <v>91</v>
      </c>
      <c r="B110" s="17" t="s">
        <v>92</v>
      </c>
      <c r="C110" s="85">
        <v>20</v>
      </c>
      <c r="D110" s="18"/>
      <c r="E110" s="18"/>
      <c r="G110" s="9"/>
    </row>
    <row r="111" spans="1:7" x14ac:dyDescent="0.2">
      <c r="A111" s="16" t="s">
        <v>71</v>
      </c>
      <c r="B111" s="17" t="s">
        <v>8</v>
      </c>
      <c r="C111" s="36">
        <f>$C$110*2*(C64+C76)</f>
        <v>80</v>
      </c>
      <c r="D111" s="15">
        <f>IFERROR((($C$110*2*$D$109)-(E57*0.06*C110/26))/($C$110*2),"-")</f>
        <v>-1.7549999999999997</v>
      </c>
      <c r="E111" s="18">
        <f>IFERROR(C111*D111,"-")</f>
        <v>-140.39999999999998</v>
      </c>
      <c r="G111" s="9"/>
    </row>
    <row r="112" spans="1:7" ht="13.5" thickBot="1" x14ac:dyDescent="0.25">
      <c r="A112" s="13" t="s">
        <v>41</v>
      </c>
      <c r="B112" s="14" t="s">
        <v>8</v>
      </c>
      <c r="C112" s="36">
        <f>$C$110*2*(C90+C104)</f>
        <v>40</v>
      </c>
      <c r="D112" s="15">
        <f>IFERROR((($C$110*2*$D$109)-(E81*0.06*C110/26))/($C$110*2),"-")</f>
        <v>-2.6208</v>
      </c>
      <c r="E112" s="15">
        <f>IFERROR(C112*D112,"-")</f>
        <v>-104.83199999999999</v>
      </c>
      <c r="G112" s="9"/>
    </row>
    <row r="113" spans="1:7" ht="13.5" thickBot="1" x14ac:dyDescent="0.25">
      <c r="F113" s="22">
        <f>SUM(E111:E112)</f>
        <v>-245.23199999999997</v>
      </c>
      <c r="G113" s="9"/>
    </row>
    <row r="114" spans="1:7" ht="11.25" customHeight="1" x14ac:dyDescent="0.2">
      <c r="G114" s="9"/>
    </row>
    <row r="115" spans="1:7" ht="13.5" thickBot="1" x14ac:dyDescent="0.25">
      <c r="A115" s="9" t="s">
        <v>124</v>
      </c>
      <c r="F115" s="23"/>
      <c r="G115" s="9"/>
    </row>
    <row r="116" spans="1:7" ht="13.5" thickBot="1" x14ac:dyDescent="0.25">
      <c r="A116" s="57" t="s">
        <v>61</v>
      </c>
      <c r="B116" s="58" t="s">
        <v>62</v>
      </c>
      <c r="C116" s="58" t="s">
        <v>37</v>
      </c>
      <c r="D116" s="59" t="s">
        <v>234</v>
      </c>
      <c r="E116" s="59" t="s">
        <v>63</v>
      </c>
      <c r="F116" s="60" t="s">
        <v>64</v>
      </c>
      <c r="G116" s="9"/>
    </row>
    <row r="117" spans="1:7" x14ac:dyDescent="0.2">
      <c r="A117" s="16" t="str">
        <f>+A111</f>
        <v>Coletor</v>
      </c>
      <c r="B117" s="17" t="s">
        <v>9</v>
      </c>
      <c r="C117" s="95">
        <v>2</v>
      </c>
      <c r="D117" s="83">
        <v>18</v>
      </c>
      <c r="E117" s="49">
        <f>C117*D117</f>
        <v>36</v>
      </c>
      <c r="F117" s="23"/>
      <c r="G117" s="9"/>
    </row>
    <row r="118" spans="1:7" ht="13.5" thickBot="1" x14ac:dyDescent="0.25">
      <c r="A118" s="16" t="str">
        <f>+A112</f>
        <v>Motorista</v>
      </c>
      <c r="B118" s="17" t="s">
        <v>9</v>
      </c>
      <c r="C118" s="95">
        <v>1</v>
      </c>
      <c r="D118" s="83">
        <v>18</v>
      </c>
      <c r="E118" s="49">
        <f>C118*D118</f>
        <v>18</v>
      </c>
      <c r="F118" s="23"/>
      <c r="G118" s="9"/>
    </row>
    <row r="119" spans="1:7" ht="13.5" thickBot="1" x14ac:dyDescent="0.25">
      <c r="F119" s="22">
        <f>SUM(E117:E118)</f>
        <v>54</v>
      </c>
      <c r="G119" s="9"/>
    </row>
    <row r="120" spans="1:7" x14ac:dyDescent="0.2">
      <c r="G120" s="9"/>
    </row>
    <row r="121" spans="1:7" ht="13.5" thickBot="1" x14ac:dyDescent="0.25">
      <c r="A121" s="9" t="s">
        <v>125</v>
      </c>
      <c r="F121" s="23"/>
      <c r="G121" s="9"/>
    </row>
    <row r="122" spans="1:7" ht="13.5" thickBot="1" x14ac:dyDescent="0.25">
      <c r="A122" s="57" t="s">
        <v>61</v>
      </c>
      <c r="B122" s="58" t="s">
        <v>62</v>
      </c>
      <c r="C122" s="58" t="s">
        <v>37</v>
      </c>
      <c r="D122" s="59" t="s">
        <v>234</v>
      </c>
      <c r="E122" s="59" t="s">
        <v>63</v>
      </c>
      <c r="F122" s="60" t="s">
        <v>64</v>
      </c>
      <c r="G122" s="9"/>
    </row>
    <row r="123" spans="1:7" x14ac:dyDescent="0.2">
      <c r="A123" s="16" t="str">
        <f>+A117</f>
        <v>Coletor</v>
      </c>
      <c r="B123" s="17" t="s">
        <v>9</v>
      </c>
      <c r="C123" s="284">
        <f>E41+E42</f>
        <v>2</v>
      </c>
      <c r="D123" s="83">
        <v>360</v>
      </c>
      <c r="E123" s="49">
        <f>C123*D123</f>
        <v>720</v>
      </c>
      <c r="F123" s="23"/>
      <c r="G123" s="9"/>
    </row>
    <row r="124" spans="1:7" ht="13.5" thickBot="1" x14ac:dyDescent="0.25">
      <c r="A124" s="16" t="str">
        <f>+A118</f>
        <v>Motorista</v>
      </c>
      <c r="B124" s="17" t="s">
        <v>9</v>
      </c>
      <c r="C124" s="95">
        <f>E43+E44</f>
        <v>1</v>
      </c>
      <c r="D124" s="83">
        <v>360</v>
      </c>
      <c r="E124" s="49">
        <f>C124*D124</f>
        <v>360</v>
      </c>
      <c r="F124" s="23"/>
      <c r="G124" s="9"/>
    </row>
    <row r="125" spans="1:7" ht="13.5" thickBot="1" x14ac:dyDescent="0.25">
      <c r="D125" s="115" t="s">
        <v>197</v>
      </c>
      <c r="E125" s="49">
        <f>$B$51</f>
        <v>0.8</v>
      </c>
      <c r="F125" s="22">
        <f>SUM(E123:E124)*E125</f>
        <v>864</v>
      </c>
      <c r="G125" s="9"/>
    </row>
    <row r="126" spans="1:7" ht="13.5" thickBot="1" x14ac:dyDescent="0.25">
      <c r="G126" s="9"/>
    </row>
    <row r="127" spans="1:7" ht="13.5" thickBot="1" x14ac:dyDescent="0.25">
      <c r="A127" s="24" t="s">
        <v>93</v>
      </c>
      <c r="B127" s="25"/>
      <c r="C127" s="25"/>
      <c r="D127" s="26"/>
      <c r="E127" s="27"/>
      <c r="F127" s="22">
        <f>F125+F119+F113+F105+F91+F77+F65</f>
        <v>11289.097269489899</v>
      </c>
      <c r="G127" s="9"/>
    </row>
    <row r="129" spans="1:7" x14ac:dyDescent="0.2">
      <c r="A129" s="11" t="s">
        <v>42</v>
      </c>
      <c r="G129" s="9"/>
    </row>
    <row r="130" spans="1:7" ht="11.25" customHeight="1" x14ac:dyDescent="0.2">
      <c r="G130" s="9"/>
    </row>
    <row r="131" spans="1:7" ht="13.9" customHeight="1" x14ac:dyDescent="0.2">
      <c r="A131" s="9" t="s">
        <v>199</v>
      </c>
      <c r="G131" s="9"/>
    </row>
    <row r="132" spans="1:7" ht="11.25" customHeight="1" thickBot="1" x14ac:dyDescent="0.25">
      <c r="G132" s="9"/>
    </row>
    <row r="133" spans="1:7" ht="27.75" customHeight="1" thickBot="1" x14ac:dyDescent="0.25">
      <c r="A133" s="57" t="s">
        <v>61</v>
      </c>
      <c r="B133" s="58" t="s">
        <v>62</v>
      </c>
      <c r="C133" s="243" t="s">
        <v>250</v>
      </c>
      <c r="D133" s="59" t="s">
        <v>234</v>
      </c>
      <c r="E133" s="59" t="s">
        <v>63</v>
      </c>
      <c r="F133" s="60" t="s">
        <v>64</v>
      </c>
      <c r="G133" s="9"/>
    </row>
    <row r="134" spans="1:7" x14ac:dyDescent="0.2">
      <c r="A134" s="13" t="s">
        <v>65</v>
      </c>
      <c r="B134" s="14" t="s">
        <v>9</v>
      </c>
      <c r="C134" s="94">
        <v>6</v>
      </c>
      <c r="D134" s="81">
        <v>148.29</v>
      </c>
      <c r="E134" s="15">
        <f>IFERROR(D134/C134,0)</f>
        <v>24.715</v>
      </c>
      <c r="G134" s="9"/>
    </row>
    <row r="135" spans="1:7" ht="13.15" customHeight="1" x14ac:dyDescent="0.2">
      <c r="A135" s="16" t="s">
        <v>28</v>
      </c>
      <c r="B135" s="17" t="s">
        <v>9</v>
      </c>
      <c r="C135" s="94">
        <v>6</v>
      </c>
      <c r="D135" s="81">
        <v>205.32</v>
      </c>
      <c r="E135" s="15">
        <f t="shared" ref="E135:E143" si="1">IFERROR(D135/C135,0)</f>
        <v>34.22</v>
      </c>
      <c r="G135" s="9"/>
    </row>
    <row r="136" spans="1:7" x14ac:dyDescent="0.2">
      <c r="A136" s="16" t="s">
        <v>29</v>
      </c>
      <c r="B136" s="17" t="s">
        <v>9</v>
      </c>
      <c r="C136" s="94">
        <v>6</v>
      </c>
      <c r="D136" s="81">
        <v>59.56</v>
      </c>
      <c r="E136" s="15">
        <f t="shared" si="1"/>
        <v>9.9266666666666676</v>
      </c>
      <c r="G136" s="9"/>
    </row>
    <row r="137" spans="1:7" ht="13.15" customHeight="1" x14ac:dyDescent="0.2">
      <c r="A137" s="16" t="s">
        <v>30</v>
      </c>
      <c r="B137" s="17" t="s">
        <v>9</v>
      </c>
      <c r="C137" s="94">
        <v>6</v>
      </c>
      <c r="D137" s="81">
        <v>11.56</v>
      </c>
      <c r="E137" s="15">
        <f t="shared" si="1"/>
        <v>1.9266666666666667</v>
      </c>
      <c r="G137" s="9"/>
    </row>
    <row r="138" spans="1:7" ht="13.9" customHeight="1" x14ac:dyDescent="0.2">
      <c r="A138" s="16" t="s">
        <v>67</v>
      </c>
      <c r="B138" s="17" t="s">
        <v>45</v>
      </c>
      <c r="C138" s="94">
        <v>6</v>
      </c>
      <c r="D138" s="81">
        <v>98.71</v>
      </c>
      <c r="E138" s="15">
        <f t="shared" si="1"/>
        <v>16.451666666666664</v>
      </c>
      <c r="G138" s="9"/>
    </row>
    <row r="139" spans="1:7" ht="13.15" customHeight="1" x14ac:dyDescent="0.2">
      <c r="A139" s="16" t="s">
        <v>94</v>
      </c>
      <c r="B139" s="17" t="s">
        <v>45</v>
      </c>
      <c r="C139" s="94">
        <v>6</v>
      </c>
      <c r="D139" s="81">
        <v>7.89</v>
      </c>
      <c r="E139" s="15">
        <f t="shared" si="1"/>
        <v>1.3149999999999999</v>
      </c>
    </row>
    <row r="140" spans="1:7" x14ac:dyDescent="0.2">
      <c r="A140" s="16" t="s">
        <v>66</v>
      </c>
      <c r="B140" s="17" t="s">
        <v>9</v>
      </c>
      <c r="C140" s="94">
        <v>6</v>
      </c>
      <c r="D140" s="81">
        <v>91.18</v>
      </c>
      <c r="E140" s="15">
        <f t="shared" si="1"/>
        <v>15.196666666666667</v>
      </c>
    </row>
    <row r="141" spans="1:7" s="1" customFormat="1" x14ac:dyDescent="0.2">
      <c r="A141" s="2" t="s">
        <v>10</v>
      </c>
      <c r="B141" s="3" t="s">
        <v>9</v>
      </c>
      <c r="C141" s="94">
        <v>6</v>
      </c>
      <c r="D141" s="81">
        <v>23.74</v>
      </c>
      <c r="E141" s="15">
        <f t="shared" si="1"/>
        <v>3.9566666666666666</v>
      </c>
      <c r="F141" s="37"/>
      <c r="G141" s="37"/>
    </row>
    <row r="142" spans="1:7" x14ac:dyDescent="0.2">
      <c r="A142" s="16" t="s">
        <v>31</v>
      </c>
      <c r="B142" s="17" t="s">
        <v>45</v>
      </c>
      <c r="C142" s="94">
        <v>6</v>
      </c>
      <c r="D142" s="81">
        <v>13.89</v>
      </c>
      <c r="E142" s="15">
        <f t="shared" si="1"/>
        <v>2.3149999999999999</v>
      </c>
    </row>
    <row r="143" spans="1:7" ht="13.15" customHeight="1" x14ac:dyDescent="0.2">
      <c r="A143" s="16" t="s">
        <v>60</v>
      </c>
      <c r="B143" s="17" t="s">
        <v>46</v>
      </c>
      <c r="C143" s="94">
        <v>3</v>
      </c>
      <c r="D143" s="81">
        <v>13.36</v>
      </c>
      <c r="E143" s="15">
        <f t="shared" si="1"/>
        <v>4.4533333333333331</v>
      </c>
    </row>
    <row r="144" spans="1:7" x14ac:dyDescent="0.2">
      <c r="A144" s="16" t="s">
        <v>200</v>
      </c>
      <c r="B144" s="17" t="s">
        <v>126</v>
      </c>
      <c r="C144" s="66">
        <v>1</v>
      </c>
      <c r="D144" s="81">
        <v>0</v>
      </c>
      <c r="E144" s="18">
        <f t="shared" ref="E144:E145" si="2">C144*D144</f>
        <v>0</v>
      </c>
    </row>
    <row r="145" spans="1:7" ht="13.5" thickBot="1" x14ac:dyDescent="0.25">
      <c r="A145" s="16" t="s">
        <v>4</v>
      </c>
      <c r="B145" s="17" t="s">
        <v>5</v>
      </c>
      <c r="C145" s="66">
        <f>E41+E42</f>
        <v>2</v>
      </c>
      <c r="D145" s="18">
        <f>+SUM(E134:E144)</f>
        <v>114.47666666666666</v>
      </c>
      <c r="E145" s="18">
        <f t="shared" si="2"/>
        <v>228.95333333333332</v>
      </c>
    </row>
    <row r="146" spans="1:7" ht="13.5" thickBot="1" x14ac:dyDescent="0.25">
      <c r="D146" s="115" t="s">
        <v>197</v>
      </c>
      <c r="E146" s="49">
        <f>$B$51</f>
        <v>0.8</v>
      </c>
      <c r="F146" s="116">
        <f>E145*E146</f>
        <v>183.16266666666667</v>
      </c>
    </row>
    <row r="147" spans="1:7" ht="11.25" customHeight="1" x14ac:dyDescent="0.2"/>
    <row r="148" spans="1:7" ht="13.9" customHeight="1" x14ac:dyDescent="0.2">
      <c r="A148" s="9" t="s">
        <v>201</v>
      </c>
    </row>
    <row r="149" spans="1:7" ht="11.25" customHeight="1" thickBot="1" x14ac:dyDescent="0.25"/>
    <row r="150" spans="1:7" ht="24.75" thickBot="1" x14ac:dyDescent="0.25">
      <c r="A150" s="57" t="s">
        <v>61</v>
      </c>
      <c r="B150" s="58" t="s">
        <v>62</v>
      </c>
      <c r="C150" s="243" t="s">
        <v>250</v>
      </c>
      <c r="D150" s="59" t="s">
        <v>234</v>
      </c>
      <c r="E150" s="59" t="s">
        <v>63</v>
      </c>
      <c r="F150" s="60" t="s">
        <v>64</v>
      </c>
    </row>
    <row r="151" spans="1:7" x14ac:dyDescent="0.2">
      <c r="A151" s="13" t="s">
        <v>65</v>
      </c>
      <c r="B151" s="14" t="s">
        <v>9</v>
      </c>
      <c r="C151" s="94">
        <v>6</v>
      </c>
      <c r="D151" s="15">
        <f>+D134</f>
        <v>148.29</v>
      </c>
      <c r="E151" s="15">
        <f>IFERROR(D151/C151,0)</f>
        <v>24.715</v>
      </c>
    </row>
    <row r="152" spans="1:7" x14ac:dyDescent="0.2">
      <c r="A152" s="16" t="s">
        <v>28</v>
      </c>
      <c r="B152" s="17" t="s">
        <v>9</v>
      </c>
      <c r="C152" s="94">
        <v>6</v>
      </c>
      <c r="D152" s="18">
        <f>+D135</f>
        <v>205.32</v>
      </c>
      <c r="E152" s="15">
        <f t="shared" ref="E152:E156" si="3">IFERROR(D152/C152,0)</f>
        <v>34.22</v>
      </c>
    </row>
    <row r="153" spans="1:7" x14ac:dyDescent="0.2">
      <c r="A153" s="16" t="s">
        <v>29</v>
      </c>
      <c r="B153" s="17" t="s">
        <v>9</v>
      </c>
      <c r="C153" s="94">
        <v>6</v>
      </c>
      <c r="D153" s="18">
        <f>+D136</f>
        <v>59.56</v>
      </c>
      <c r="E153" s="15">
        <f t="shared" si="3"/>
        <v>9.9266666666666676</v>
      </c>
    </row>
    <row r="154" spans="1:7" x14ac:dyDescent="0.2">
      <c r="A154" s="16" t="s">
        <v>67</v>
      </c>
      <c r="B154" s="17" t="s">
        <v>45</v>
      </c>
      <c r="C154" s="94">
        <v>6</v>
      </c>
      <c r="D154" s="18">
        <f>+D138</f>
        <v>98.71</v>
      </c>
      <c r="E154" s="15">
        <f t="shared" si="3"/>
        <v>16.451666666666664</v>
      </c>
    </row>
    <row r="155" spans="1:7" x14ac:dyDescent="0.2">
      <c r="A155" s="16" t="s">
        <v>66</v>
      </c>
      <c r="B155" s="17" t="s">
        <v>9</v>
      </c>
      <c r="C155" s="94">
        <v>6</v>
      </c>
      <c r="D155" s="18">
        <f>+D140</f>
        <v>91.18</v>
      </c>
      <c r="E155" s="15">
        <f t="shared" si="3"/>
        <v>15.196666666666667</v>
      </c>
      <c r="G155" s="9"/>
    </row>
    <row r="156" spans="1:7" x14ac:dyDescent="0.2">
      <c r="A156" s="16" t="s">
        <v>60</v>
      </c>
      <c r="B156" s="17" t="s">
        <v>46</v>
      </c>
      <c r="C156" s="94">
        <v>3</v>
      </c>
      <c r="D156" s="18">
        <f>+D143</f>
        <v>13.36</v>
      </c>
      <c r="E156" s="15">
        <f t="shared" si="3"/>
        <v>4.4533333333333331</v>
      </c>
      <c r="G156" s="9"/>
    </row>
    <row r="157" spans="1:7" x14ac:dyDescent="0.2">
      <c r="A157" s="16" t="s">
        <v>200</v>
      </c>
      <c r="B157" s="17" t="s">
        <v>126</v>
      </c>
      <c r="C157" s="66">
        <v>1</v>
      </c>
      <c r="D157" s="81">
        <v>0</v>
      </c>
      <c r="E157" s="18">
        <f t="shared" ref="E157:E158" si="4">C157*D157</f>
        <v>0</v>
      </c>
      <c r="G157" s="9"/>
    </row>
    <row r="158" spans="1:7" ht="13.5" thickBot="1" x14ac:dyDescent="0.25">
      <c r="A158" s="16" t="s">
        <v>4</v>
      </c>
      <c r="B158" s="17" t="s">
        <v>5</v>
      </c>
      <c r="C158" s="66">
        <f>E43+E44</f>
        <v>1</v>
      </c>
      <c r="D158" s="18">
        <f>+SUM(E151:E157)</f>
        <v>104.96333333333334</v>
      </c>
      <c r="E158" s="18">
        <f t="shared" si="4"/>
        <v>104.96333333333334</v>
      </c>
      <c r="G158" s="9"/>
    </row>
    <row r="159" spans="1:7" ht="13.5" thickBot="1" x14ac:dyDescent="0.25">
      <c r="D159" s="115" t="s">
        <v>197</v>
      </c>
      <c r="E159" s="49">
        <f>$B$51</f>
        <v>0.8</v>
      </c>
      <c r="F159" s="116">
        <f>E158*E159</f>
        <v>83.970666666666673</v>
      </c>
      <c r="G159" s="9"/>
    </row>
    <row r="160" spans="1:7" ht="11.25" customHeight="1" thickBot="1" x14ac:dyDescent="0.25">
      <c r="G160" s="9"/>
    </row>
    <row r="161" spans="1:10" ht="13.5" thickBot="1" x14ac:dyDescent="0.25">
      <c r="A161" s="24" t="s">
        <v>202</v>
      </c>
      <c r="B161" s="28"/>
      <c r="C161" s="28"/>
      <c r="D161" s="29"/>
      <c r="E161" s="30"/>
      <c r="F161" s="21">
        <f>+F146+F159</f>
        <v>267.13333333333333</v>
      </c>
      <c r="G161" s="9"/>
    </row>
    <row r="162" spans="1:10" ht="11.25" customHeight="1" x14ac:dyDescent="0.2">
      <c r="G162" s="9"/>
    </row>
    <row r="163" spans="1:10" x14ac:dyDescent="0.2">
      <c r="A163" s="11" t="s">
        <v>51</v>
      </c>
      <c r="G163" s="9"/>
    </row>
    <row r="164" spans="1:10" ht="11.25" customHeight="1" x14ac:dyDescent="0.2">
      <c r="B164" s="100"/>
      <c r="G164" s="9"/>
    </row>
    <row r="165" spans="1:10" x14ac:dyDescent="0.2">
      <c r="A165" s="7" t="s">
        <v>300</v>
      </c>
      <c r="G165" s="9"/>
    </row>
    <row r="166" spans="1:10" ht="11.25" customHeight="1" x14ac:dyDescent="0.2">
      <c r="G166" s="9"/>
    </row>
    <row r="167" spans="1:10" ht="13.5" thickBot="1" x14ac:dyDescent="0.25">
      <c r="A167" s="100" t="s">
        <v>43</v>
      </c>
      <c r="G167" s="9"/>
    </row>
    <row r="168" spans="1:10" ht="13.5" thickBot="1" x14ac:dyDescent="0.25">
      <c r="A168" s="57" t="s">
        <v>61</v>
      </c>
      <c r="B168" s="58" t="s">
        <v>62</v>
      </c>
      <c r="C168" s="58" t="s">
        <v>37</v>
      </c>
      <c r="D168" s="59" t="s">
        <v>234</v>
      </c>
      <c r="E168" s="59" t="s">
        <v>63</v>
      </c>
      <c r="F168" s="60" t="s">
        <v>64</v>
      </c>
      <c r="G168" s="9"/>
    </row>
    <row r="169" spans="1:10" x14ac:dyDescent="0.2">
      <c r="A169" s="13" t="s">
        <v>108</v>
      </c>
      <c r="B169" s="14" t="s">
        <v>9</v>
      </c>
      <c r="C169" s="14">
        <v>1</v>
      </c>
      <c r="D169" s="81">
        <v>574273</v>
      </c>
      <c r="E169" s="15">
        <f>C169*D169</f>
        <v>574273</v>
      </c>
      <c r="G169" s="9"/>
    </row>
    <row r="170" spans="1:10" x14ac:dyDescent="0.2">
      <c r="A170" s="16" t="s">
        <v>102</v>
      </c>
      <c r="B170" s="17" t="s">
        <v>103</v>
      </c>
      <c r="C170" s="80">
        <v>5</v>
      </c>
      <c r="D170" s="77"/>
      <c r="E170" s="18"/>
      <c r="G170" s="9"/>
    </row>
    <row r="171" spans="1:10" x14ac:dyDescent="0.2">
      <c r="A171" s="16" t="s">
        <v>209</v>
      </c>
      <c r="B171" s="17" t="s">
        <v>103</v>
      </c>
      <c r="C171" s="80">
        <v>0</v>
      </c>
      <c r="D171" s="18"/>
      <c r="E171" s="18"/>
      <c r="F171" s="20"/>
      <c r="I171" s="79"/>
      <c r="J171" s="79"/>
    </row>
    <row r="172" spans="1:10" x14ac:dyDescent="0.2">
      <c r="A172" s="16" t="s">
        <v>106</v>
      </c>
      <c r="B172" s="17" t="s">
        <v>1</v>
      </c>
      <c r="C172" s="131">
        <f>IFERROR(VLOOKUP(C170,'5. Depreciação'!A3:B17,2,FALSE),0)</f>
        <v>55.679999999999993</v>
      </c>
      <c r="D172" s="18">
        <f>E169</f>
        <v>574273</v>
      </c>
      <c r="E172" s="18">
        <f>C172*D172/100</f>
        <v>319755.20639999997</v>
      </c>
    </row>
    <row r="173" spans="1:10" ht="13.5" thickBot="1" x14ac:dyDescent="0.25">
      <c r="A173" s="250" t="s">
        <v>47</v>
      </c>
      <c r="B173" s="251" t="s">
        <v>7</v>
      </c>
      <c r="C173" s="251">
        <f>C170*12</f>
        <v>60</v>
      </c>
      <c r="D173" s="252">
        <f>IF(C171&lt;=C170,E172,0)</f>
        <v>319755.20639999997</v>
      </c>
      <c r="E173" s="252">
        <f>IFERROR(D173/C173,0)</f>
        <v>5329.2534399999995</v>
      </c>
    </row>
    <row r="174" spans="1:10" ht="13.5" thickTop="1" x14ac:dyDescent="0.2">
      <c r="A174" s="13" t="s">
        <v>107</v>
      </c>
      <c r="B174" s="14" t="s">
        <v>9</v>
      </c>
      <c r="C174" s="14">
        <f>C169</f>
        <v>1</v>
      </c>
      <c r="D174" s="81">
        <v>200000</v>
      </c>
      <c r="E174" s="15">
        <f>C174*D174</f>
        <v>200000</v>
      </c>
      <c r="G174" s="9"/>
    </row>
    <row r="175" spans="1:10" x14ac:dyDescent="0.2">
      <c r="A175" s="16" t="s">
        <v>104</v>
      </c>
      <c r="B175" s="17" t="s">
        <v>103</v>
      </c>
      <c r="C175" s="80">
        <v>5</v>
      </c>
      <c r="D175" s="281"/>
      <c r="E175" s="18"/>
    </row>
    <row r="176" spans="1:10" x14ac:dyDescent="0.2">
      <c r="A176" s="16" t="s">
        <v>210</v>
      </c>
      <c r="B176" s="17" t="s">
        <v>103</v>
      </c>
      <c r="C176" s="80">
        <v>0</v>
      </c>
      <c r="D176" s="18"/>
      <c r="E176" s="18"/>
      <c r="F176" s="20"/>
      <c r="I176" s="79"/>
      <c r="J176" s="79"/>
    </row>
    <row r="177" spans="1:10" x14ac:dyDescent="0.2">
      <c r="A177" s="16" t="s">
        <v>105</v>
      </c>
      <c r="B177" s="17" t="s">
        <v>1</v>
      </c>
      <c r="C177" s="132">
        <f>IFERROR(VLOOKUP(C175,'5. Depreciação'!A3:B17,2,FALSE),0)</f>
        <v>55.679999999999993</v>
      </c>
      <c r="D177" s="18">
        <f>E174</f>
        <v>200000</v>
      </c>
      <c r="E177" s="18">
        <f>C177*D177/100</f>
        <v>111359.99999999999</v>
      </c>
    </row>
    <row r="178" spans="1:10" x14ac:dyDescent="0.2">
      <c r="A178" s="96" t="s">
        <v>109</v>
      </c>
      <c r="B178" s="97" t="s">
        <v>7</v>
      </c>
      <c r="C178" s="97">
        <f>C175*12</f>
        <v>60</v>
      </c>
      <c r="D178" s="98">
        <f>IF(C176&lt;=C175,E177,0)</f>
        <v>111359.99999999999</v>
      </c>
      <c r="E178" s="98">
        <f>IFERROR(D178/C178,0)</f>
        <v>1855.9999999999998</v>
      </c>
    </row>
    <row r="179" spans="1:10" x14ac:dyDescent="0.2">
      <c r="A179" s="109" t="s">
        <v>253</v>
      </c>
      <c r="B179" s="110"/>
      <c r="C179" s="110"/>
      <c r="D179" s="111"/>
      <c r="E179" s="112">
        <f>E173+E178</f>
        <v>7185.2534399999995</v>
      </c>
    </row>
    <row r="180" spans="1:10" ht="13.5" thickBot="1" x14ac:dyDescent="0.25">
      <c r="A180" s="96" t="s">
        <v>254</v>
      </c>
      <c r="B180" s="97" t="s">
        <v>9</v>
      </c>
      <c r="C180" s="80">
        <v>1</v>
      </c>
      <c r="D180" s="98">
        <f>E179</f>
        <v>7185.2534399999995</v>
      </c>
      <c r="E180" s="112">
        <f>C180*D180</f>
        <v>7185.2534399999995</v>
      </c>
    </row>
    <row r="181" spans="1:10" ht="13.5" thickBot="1" x14ac:dyDescent="0.25">
      <c r="A181" s="248"/>
      <c r="B181" s="248"/>
      <c r="C181" s="248"/>
      <c r="D181" s="115" t="s">
        <v>197</v>
      </c>
      <c r="E181" s="49">
        <f>$B$51</f>
        <v>0.8</v>
      </c>
      <c r="F181" s="21">
        <f>E180*E181</f>
        <v>5748.2027520000001</v>
      </c>
    </row>
    <row r="182" spans="1:10" ht="11.25" customHeight="1" x14ac:dyDescent="0.2"/>
    <row r="183" spans="1:10" ht="13.5" thickBot="1" x14ac:dyDescent="0.25">
      <c r="A183" s="100" t="s">
        <v>114</v>
      </c>
    </row>
    <row r="184" spans="1:10" ht="13.5" thickBot="1" x14ac:dyDescent="0.25">
      <c r="A184" s="102" t="s">
        <v>61</v>
      </c>
      <c r="B184" s="103" t="s">
        <v>62</v>
      </c>
      <c r="C184" s="103" t="s">
        <v>37</v>
      </c>
      <c r="D184" s="59" t="s">
        <v>234</v>
      </c>
      <c r="E184" s="104" t="s">
        <v>63</v>
      </c>
      <c r="F184" s="60" t="s">
        <v>64</v>
      </c>
      <c r="I184" s="79"/>
      <c r="J184" s="79"/>
    </row>
    <row r="185" spans="1:10" x14ac:dyDescent="0.2">
      <c r="A185" s="16" t="s">
        <v>112</v>
      </c>
      <c r="B185" s="17" t="s">
        <v>9</v>
      </c>
      <c r="C185" s="14">
        <v>1</v>
      </c>
      <c r="D185" s="18">
        <f>D169</f>
        <v>574273</v>
      </c>
      <c r="E185" s="18">
        <f>C185*D185</f>
        <v>574273</v>
      </c>
      <c r="F185" s="20"/>
      <c r="I185" s="79"/>
      <c r="J185" s="79"/>
    </row>
    <row r="186" spans="1:10" x14ac:dyDescent="0.2">
      <c r="A186" s="16" t="s">
        <v>213</v>
      </c>
      <c r="B186" s="17" t="s">
        <v>1</v>
      </c>
      <c r="C186" s="282">
        <v>13.75</v>
      </c>
      <c r="D186" s="18"/>
      <c r="E186" s="18"/>
      <c r="F186" s="20"/>
      <c r="I186" s="79"/>
      <c r="J186" s="79"/>
    </row>
    <row r="187" spans="1:10" x14ac:dyDescent="0.2">
      <c r="A187" s="16" t="s">
        <v>211</v>
      </c>
      <c r="B187" s="17" t="s">
        <v>32</v>
      </c>
      <c r="C187" s="137">
        <f>IFERROR(IF(C171&lt;=C170,E169-(C172/(100*C170)*C171)*E169,E169-E172),0)</f>
        <v>574273</v>
      </c>
      <c r="D187" s="18"/>
      <c r="E187" s="18"/>
      <c r="F187" s="20"/>
      <c r="I187" s="79"/>
      <c r="J187" s="79"/>
    </row>
    <row r="188" spans="1:10" x14ac:dyDescent="0.2">
      <c r="A188" s="16" t="s">
        <v>117</v>
      </c>
      <c r="B188" s="17" t="s">
        <v>32</v>
      </c>
      <c r="C188" s="77">
        <f>IFERROR(IF(C171&gt;=C170,C187,((((C187)-(E169-E172))*(((C170-C171)+1)/(2*(C170-C171))))+(E169-E172))),0)</f>
        <v>446370.91743999999</v>
      </c>
      <c r="D188" s="18"/>
      <c r="E188" s="18"/>
      <c r="F188" s="20"/>
      <c r="I188" s="79"/>
      <c r="J188" s="79"/>
    </row>
    <row r="189" spans="1:10" ht="13.5" thickBot="1" x14ac:dyDescent="0.25">
      <c r="A189" s="250" t="s">
        <v>118</v>
      </c>
      <c r="B189" s="251" t="s">
        <v>32</v>
      </c>
      <c r="C189" s="251"/>
      <c r="D189" s="253">
        <f>C186*C188/12/100</f>
        <v>5114.6667623333333</v>
      </c>
      <c r="E189" s="252">
        <f>D189</f>
        <v>5114.6667623333333</v>
      </c>
      <c r="F189" s="20"/>
      <c r="I189" s="79"/>
      <c r="J189" s="79"/>
    </row>
    <row r="190" spans="1:10" ht="13.5" thickTop="1" x14ac:dyDescent="0.2">
      <c r="A190" s="13" t="s">
        <v>113</v>
      </c>
      <c r="B190" s="14" t="s">
        <v>9</v>
      </c>
      <c r="C190" s="14">
        <f>C174</f>
        <v>1</v>
      </c>
      <c r="D190" s="15">
        <f>D174</f>
        <v>200000</v>
      </c>
      <c r="E190" s="15">
        <f>C190*D190</f>
        <v>200000</v>
      </c>
      <c r="F190" s="20"/>
      <c r="I190" s="79"/>
      <c r="J190" s="79"/>
    </row>
    <row r="191" spans="1:10" x14ac:dyDescent="0.2">
      <c r="A191" s="16" t="s">
        <v>213</v>
      </c>
      <c r="B191" s="17" t="s">
        <v>1</v>
      </c>
      <c r="C191" s="17">
        <f>C186</f>
        <v>13.75</v>
      </c>
      <c r="D191" s="18"/>
      <c r="E191" s="18"/>
      <c r="F191" s="20"/>
      <c r="I191" s="79"/>
      <c r="J191" s="79"/>
    </row>
    <row r="192" spans="1:10" x14ac:dyDescent="0.2">
      <c r="A192" s="16" t="s">
        <v>212</v>
      </c>
      <c r="B192" s="17" t="s">
        <v>32</v>
      </c>
      <c r="C192" s="137">
        <f>IFERROR(IF(C176&lt;=C175,E174-(C177/(100*C175)*C176)*E174,E174-E177),0)</f>
        <v>200000</v>
      </c>
      <c r="D192" s="18"/>
      <c r="E192" s="18"/>
      <c r="F192" s="20"/>
      <c r="I192" s="79"/>
      <c r="J192" s="79"/>
    </row>
    <row r="193" spans="1:10" x14ac:dyDescent="0.2">
      <c r="A193" s="16" t="s">
        <v>119</v>
      </c>
      <c r="B193" s="17" t="s">
        <v>32</v>
      </c>
      <c r="C193" s="77">
        <f>IFERROR(IF(C176&gt;=C175,C192,((((C192)-(E174-E177))*(((C175-C176)+1)/(2*(C175-C176))))+(E174-E177))),0)</f>
        <v>155456</v>
      </c>
      <c r="D193" s="18"/>
      <c r="E193" s="18"/>
      <c r="F193" s="20"/>
      <c r="I193" s="79"/>
      <c r="J193" s="79"/>
    </row>
    <row r="194" spans="1:10" x14ac:dyDescent="0.2">
      <c r="A194" s="96" t="s">
        <v>116</v>
      </c>
      <c r="B194" s="97" t="s">
        <v>32</v>
      </c>
      <c r="C194" s="97"/>
      <c r="D194" s="106">
        <f>C191*C193/12/100</f>
        <v>1781.2666666666667</v>
      </c>
      <c r="E194" s="98">
        <f>D194</f>
        <v>1781.2666666666667</v>
      </c>
      <c r="F194" s="20"/>
      <c r="I194" s="79"/>
      <c r="J194" s="79"/>
    </row>
    <row r="195" spans="1:10" x14ac:dyDescent="0.2">
      <c r="A195" s="109" t="s">
        <v>253</v>
      </c>
      <c r="B195" s="110"/>
      <c r="C195" s="110"/>
      <c r="D195" s="111"/>
      <c r="E195" s="112">
        <f>E189+E194</f>
        <v>6895.9334289999997</v>
      </c>
      <c r="F195" s="20"/>
      <c r="I195" s="79"/>
      <c r="J195" s="79"/>
    </row>
    <row r="196" spans="1:10" ht="13.5" thickBot="1" x14ac:dyDescent="0.25">
      <c r="A196" s="96" t="s">
        <v>254</v>
      </c>
      <c r="B196" s="97" t="s">
        <v>9</v>
      </c>
      <c r="C196" s="17">
        <f>C180</f>
        <v>1</v>
      </c>
      <c r="D196" s="98">
        <f>E195</f>
        <v>6895.9334289999997</v>
      </c>
      <c r="E196" s="112">
        <f>C196*D196</f>
        <v>6895.9334289999997</v>
      </c>
      <c r="F196" s="20"/>
      <c r="I196" s="79"/>
      <c r="J196" s="79"/>
    </row>
    <row r="197" spans="1:10" ht="13.5" thickBot="1" x14ac:dyDescent="0.25">
      <c r="C197" s="19"/>
      <c r="D197" s="115" t="s">
        <v>197</v>
      </c>
      <c r="E197" s="49">
        <f>$B$51</f>
        <v>0.8</v>
      </c>
      <c r="F197" s="21">
        <f>E196*E197</f>
        <v>5516.7467432000003</v>
      </c>
      <c r="I197" s="79"/>
      <c r="J197" s="79"/>
    </row>
    <row r="198" spans="1:10" ht="11.25" customHeight="1" x14ac:dyDescent="0.2">
      <c r="I198" s="79"/>
      <c r="J198" s="79"/>
    </row>
    <row r="199" spans="1:10" ht="13.5" thickBot="1" x14ac:dyDescent="0.25">
      <c r="A199" s="9" t="s">
        <v>48</v>
      </c>
      <c r="I199" s="79"/>
      <c r="J199" s="79"/>
    </row>
    <row r="200" spans="1:10" ht="13.5" thickBot="1" x14ac:dyDescent="0.25">
      <c r="A200" s="57" t="s">
        <v>61</v>
      </c>
      <c r="B200" s="58" t="s">
        <v>62</v>
      </c>
      <c r="C200" s="58" t="s">
        <v>37</v>
      </c>
      <c r="D200" s="59" t="s">
        <v>234</v>
      </c>
      <c r="E200" s="59" t="s">
        <v>63</v>
      </c>
      <c r="F200" s="60" t="s">
        <v>64</v>
      </c>
      <c r="I200" s="79"/>
      <c r="J200" s="79"/>
    </row>
    <row r="201" spans="1:10" x14ac:dyDescent="0.2">
      <c r="A201" s="13" t="s">
        <v>11</v>
      </c>
      <c r="B201" s="14" t="s">
        <v>9</v>
      </c>
      <c r="C201" s="15">
        <f>C180</f>
        <v>1</v>
      </c>
      <c r="D201" s="15">
        <f>0.01*($E$169)</f>
        <v>5742.7300000000005</v>
      </c>
      <c r="E201" s="15">
        <f>C201*D201</f>
        <v>5742.7300000000005</v>
      </c>
      <c r="I201" s="79"/>
      <c r="J201" s="79"/>
    </row>
    <row r="202" spans="1:10" x14ac:dyDescent="0.2">
      <c r="A202" s="16" t="s">
        <v>196</v>
      </c>
      <c r="B202" s="17" t="s">
        <v>9</v>
      </c>
      <c r="C202" s="15">
        <f>C180</f>
        <v>1</v>
      </c>
      <c r="D202" s="83"/>
      <c r="E202" s="18">
        <f>C202*D202</f>
        <v>0</v>
      </c>
      <c r="I202" s="79"/>
      <c r="J202" s="79"/>
    </row>
    <row r="203" spans="1:10" x14ac:dyDescent="0.2">
      <c r="A203" s="16" t="s">
        <v>12</v>
      </c>
      <c r="B203" s="17" t="s">
        <v>9</v>
      </c>
      <c r="C203" s="15">
        <f>C180</f>
        <v>1</v>
      </c>
      <c r="D203" s="83"/>
      <c r="E203" s="18">
        <f>C203*D203</f>
        <v>0</v>
      </c>
      <c r="F203" s="31"/>
      <c r="I203" s="79"/>
      <c r="J203" s="79"/>
    </row>
    <row r="204" spans="1:10" ht="13.5" thickBot="1" x14ac:dyDescent="0.25">
      <c r="A204" s="96" t="s">
        <v>13</v>
      </c>
      <c r="B204" s="97" t="s">
        <v>7</v>
      </c>
      <c r="C204" s="97">
        <v>12</v>
      </c>
      <c r="D204" s="98">
        <f>SUM(E201:E203)</f>
        <v>5742.7300000000005</v>
      </c>
      <c r="E204" s="98">
        <f>D204/C204</f>
        <v>478.56083333333339</v>
      </c>
      <c r="I204" s="79"/>
      <c r="J204" s="79"/>
    </row>
    <row r="205" spans="1:10" ht="13.5" thickBot="1" x14ac:dyDescent="0.25">
      <c r="D205" s="115" t="s">
        <v>197</v>
      </c>
      <c r="E205" s="49">
        <f>$B$51</f>
        <v>0.8</v>
      </c>
      <c r="F205" s="116">
        <f>E204*E205</f>
        <v>382.84866666666676</v>
      </c>
      <c r="I205" s="79"/>
      <c r="J205" s="79"/>
    </row>
    <row r="206" spans="1:10" ht="11.25" customHeight="1" x14ac:dyDescent="0.2">
      <c r="I206" s="79"/>
      <c r="J206" s="79"/>
    </row>
    <row r="207" spans="1:10" x14ac:dyDescent="0.2">
      <c r="A207" s="9" t="s">
        <v>49</v>
      </c>
      <c r="B207" s="32"/>
      <c r="I207" s="79"/>
      <c r="J207" s="79"/>
    </row>
    <row r="208" spans="1:10" x14ac:dyDescent="0.2">
      <c r="B208" s="32"/>
      <c r="I208" s="79"/>
      <c r="J208" s="79"/>
    </row>
    <row r="209" spans="1:10" x14ac:dyDescent="0.2">
      <c r="A209" s="96" t="s">
        <v>121</v>
      </c>
      <c r="B209" s="285">
        <v>100</v>
      </c>
      <c r="I209" s="79"/>
      <c r="J209" s="79"/>
    </row>
    <row r="210" spans="1:10" ht="13.5" thickBot="1" x14ac:dyDescent="0.25">
      <c r="B210" s="32"/>
      <c r="I210" s="79"/>
      <c r="J210" s="79"/>
    </row>
    <row r="211" spans="1:10" ht="13.5" thickBot="1" x14ac:dyDescent="0.25">
      <c r="A211" s="57" t="s">
        <v>61</v>
      </c>
      <c r="B211" s="58" t="s">
        <v>62</v>
      </c>
      <c r="C211" s="58" t="s">
        <v>252</v>
      </c>
      <c r="D211" s="59" t="s">
        <v>234</v>
      </c>
      <c r="E211" s="59" t="s">
        <v>63</v>
      </c>
      <c r="F211" s="60" t="s">
        <v>64</v>
      </c>
      <c r="I211" s="79"/>
      <c r="J211" s="79"/>
    </row>
    <row r="212" spans="1:10" x14ac:dyDescent="0.2">
      <c r="A212" s="13" t="s">
        <v>14</v>
      </c>
      <c r="B212" s="14" t="s">
        <v>15</v>
      </c>
      <c r="C212" s="90">
        <v>1.8</v>
      </c>
      <c r="D212" s="91">
        <v>5.48</v>
      </c>
      <c r="E212" s="15"/>
      <c r="I212" s="79"/>
      <c r="J212" s="79"/>
    </row>
    <row r="213" spans="1:10" x14ac:dyDescent="0.2">
      <c r="A213" s="16" t="s">
        <v>16</v>
      </c>
      <c r="B213" s="17" t="s">
        <v>17</v>
      </c>
      <c r="C213" s="88">
        <f>B209</f>
        <v>100</v>
      </c>
      <c r="D213" s="247">
        <f>IFERROR(+D212/C212,"-")</f>
        <v>3.0444444444444447</v>
      </c>
      <c r="E213" s="18">
        <f>IFERROR(C213*D213,"-")</f>
        <v>304.44444444444446</v>
      </c>
      <c r="I213" s="79"/>
      <c r="J213" s="79"/>
    </row>
    <row r="214" spans="1:10" x14ac:dyDescent="0.2">
      <c r="A214" s="283" t="s">
        <v>235</v>
      </c>
      <c r="B214" s="17" t="s">
        <v>18</v>
      </c>
      <c r="C214" s="93">
        <v>2.2000000000000002</v>
      </c>
      <c r="D214" s="83">
        <v>27.98</v>
      </c>
      <c r="E214" s="18"/>
      <c r="G214" s="105"/>
      <c r="I214" s="79"/>
      <c r="J214" s="79"/>
    </row>
    <row r="215" spans="1:10" x14ac:dyDescent="0.2">
      <c r="A215" s="16" t="s">
        <v>19</v>
      </c>
      <c r="B215" s="17" t="s">
        <v>17</v>
      </c>
      <c r="C215" s="88">
        <f>C213</f>
        <v>100</v>
      </c>
      <c r="D215" s="244">
        <f>+C214*D214/1000</f>
        <v>6.1556000000000007E-2</v>
      </c>
      <c r="E215" s="18">
        <f>C215*D215</f>
        <v>6.1556000000000006</v>
      </c>
      <c r="G215" s="105"/>
      <c r="I215" s="79"/>
      <c r="J215" s="79"/>
    </row>
    <row r="216" spans="1:10" x14ac:dyDescent="0.2">
      <c r="A216" s="283" t="s">
        <v>236</v>
      </c>
      <c r="B216" s="17" t="s">
        <v>18</v>
      </c>
      <c r="C216" s="93">
        <v>0.27</v>
      </c>
      <c r="D216" s="83">
        <v>56.92</v>
      </c>
      <c r="E216" s="18"/>
      <c r="G216" s="105"/>
      <c r="I216" s="79"/>
      <c r="J216" s="79"/>
    </row>
    <row r="217" spans="1:10" x14ac:dyDescent="0.2">
      <c r="A217" s="16" t="s">
        <v>20</v>
      </c>
      <c r="B217" s="17" t="s">
        <v>17</v>
      </c>
      <c r="C217" s="88">
        <f>C213</f>
        <v>100</v>
      </c>
      <c r="D217" s="244">
        <f>+C216*D216/1000</f>
        <v>1.5368400000000001E-2</v>
      </c>
      <c r="E217" s="18">
        <f>C217*D217</f>
        <v>1.53684</v>
      </c>
      <c r="G217" s="105"/>
      <c r="I217" s="79"/>
      <c r="J217" s="79"/>
    </row>
    <row r="218" spans="1:10" x14ac:dyDescent="0.2">
      <c r="A218" s="283" t="s">
        <v>237</v>
      </c>
      <c r="B218" s="17" t="s">
        <v>18</v>
      </c>
      <c r="C218" s="93">
        <v>8</v>
      </c>
      <c r="D218" s="83">
        <v>26.83</v>
      </c>
      <c r="E218" s="18"/>
      <c r="G218" s="105"/>
      <c r="I218" s="79"/>
      <c r="J218" s="79"/>
    </row>
    <row r="219" spans="1:10" x14ac:dyDescent="0.2">
      <c r="A219" s="16" t="s">
        <v>21</v>
      </c>
      <c r="B219" s="17" t="s">
        <v>17</v>
      </c>
      <c r="C219" s="88">
        <f>C213</f>
        <v>100</v>
      </c>
      <c r="D219" s="244">
        <f>+C218*D218/1000</f>
        <v>0.21464</v>
      </c>
      <c r="E219" s="18">
        <f>C219*D219</f>
        <v>21.463999999999999</v>
      </c>
      <c r="G219" s="105"/>
      <c r="I219" s="79"/>
      <c r="J219" s="79"/>
    </row>
    <row r="220" spans="1:10" x14ac:dyDescent="0.2">
      <c r="A220" s="283" t="s">
        <v>22</v>
      </c>
      <c r="B220" s="17" t="s">
        <v>23</v>
      </c>
      <c r="C220" s="93">
        <v>0.8</v>
      </c>
      <c r="D220" s="83">
        <v>34.04</v>
      </c>
      <c r="E220" s="18"/>
      <c r="G220" s="105"/>
      <c r="I220" s="79"/>
      <c r="J220" s="79"/>
    </row>
    <row r="221" spans="1:10" x14ac:dyDescent="0.2">
      <c r="A221" s="16" t="s">
        <v>24</v>
      </c>
      <c r="B221" s="17" t="s">
        <v>17</v>
      </c>
      <c r="C221" s="88">
        <f>C213</f>
        <v>100</v>
      </c>
      <c r="D221" s="244">
        <f>+C220*D220/1000</f>
        <v>2.7231999999999999E-2</v>
      </c>
      <c r="E221" s="18">
        <f>C221*D221</f>
        <v>2.7231999999999998</v>
      </c>
      <c r="G221" s="105"/>
      <c r="I221" s="79"/>
      <c r="J221" s="79"/>
    </row>
    <row r="222" spans="1:10" ht="13.5" thickBot="1" x14ac:dyDescent="0.25">
      <c r="A222" s="96" t="s">
        <v>251</v>
      </c>
      <c r="B222" s="97" t="s">
        <v>122</v>
      </c>
      <c r="C222" s="245"/>
      <c r="D222" s="246">
        <f>IFERROR(D213+D215+D217+D219+D221,0)</f>
        <v>3.3632408444444448</v>
      </c>
      <c r="E222" s="18"/>
      <c r="G222" s="105"/>
      <c r="I222" s="79"/>
      <c r="J222" s="79"/>
    </row>
    <row r="223" spans="1:10" ht="13.5" thickBot="1" x14ac:dyDescent="0.25">
      <c r="F223" s="21">
        <f>SUM(E212:E221)</f>
        <v>336.32408444444445</v>
      </c>
      <c r="I223" s="79"/>
      <c r="J223" s="79"/>
    </row>
    <row r="224" spans="1:10" ht="11.25" customHeight="1" x14ac:dyDescent="0.2">
      <c r="I224" s="79"/>
      <c r="J224" s="79"/>
    </row>
    <row r="225" spans="1:10" ht="13.5" thickBot="1" x14ac:dyDescent="0.25">
      <c r="A225" s="9" t="s">
        <v>50</v>
      </c>
      <c r="I225" s="79"/>
      <c r="J225" s="79"/>
    </row>
    <row r="226" spans="1:10" ht="13.5" thickBot="1" x14ac:dyDescent="0.25">
      <c r="A226" s="57" t="s">
        <v>61</v>
      </c>
      <c r="B226" s="58" t="s">
        <v>62</v>
      </c>
      <c r="C226" s="58" t="s">
        <v>37</v>
      </c>
      <c r="D226" s="59" t="s">
        <v>234</v>
      </c>
      <c r="E226" s="59" t="s">
        <v>63</v>
      </c>
      <c r="F226" s="60" t="s">
        <v>64</v>
      </c>
      <c r="I226" s="79"/>
      <c r="J226" s="79"/>
    </row>
    <row r="227" spans="1:10" ht="13.5" thickBot="1" x14ac:dyDescent="0.25">
      <c r="A227" s="13" t="s">
        <v>120</v>
      </c>
      <c r="B227" s="14" t="s">
        <v>122</v>
      </c>
      <c r="C227" s="88">
        <f>C213</f>
        <v>100</v>
      </c>
      <c r="D227" s="81">
        <v>0.74</v>
      </c>
      <c r="E227" s="15">
        <f>C227*D227</f>
        <v>74</v>
      </c>
      <c r="I227" s="79"/>
      <c r="J227" s="79"/>
    </row>
    <row r="228" spans="1:10" ht="13.5" thickBot="1" x14ac:dyDescent="0.25">
      <c r="F228" s="21">
        <f>E227</f>
        <v>74</v>
      </c>
      <c r="I228" s="79"/>
      <c r="J228" s="79"/>
    </row>
    <row r="229" spans="1:10" ht="11.25" customHeight="1" x14ac:dyDescent="0.2">
      <c r="I229" s="79"/>
      <c r="J229" s="79"/>
    </row>
    <row r="230" spans="1:10" ht="13.5" thickBot="1" x14ac:dyDescent="0.25">
      <c r="A230" s="9" t="s">
        <v>59</v>
      </c>
      <c r="I230" s="79"/>
      <c r="J230" s="79"/>
    </row>
    <row r="231" spans="1:10" ht="13.5" thickBot="1" x14ac:dyDescent="0.25">
      <c r="A231" s="57" t="s">
        <v>61</v>
      </c>
      <c r="B231" s="58" t="s">
        <v>62</v>
      </c>
      <c r="C231" s="58" t="s">
        <v>37</v>
      </c>
      <c r="D231" s="59" t="s">
        <v>234</v>
      </c>
      <c r="E231" s="59" t="s">
        <v>63</v>
      </c>
      <c r="F231" s="60" t="s">
        <v>64</v>
      </c>
      <c r="I231" s="79"/>
      <c r="J231" s="79"/>
    </row>
    <row r="232" spans="1:10" x14ac:dyDescent="0.2">
      <c r="A232" s="275" t="s">
        <v>302</v>
      </c>
      <c r="B232" s="14" t="s">
        <v>9</v>
      </c>
      <c r="C232" s="89">
        <v>10</v>
      </c>
      <c r="D232" s="81">
        <v>2533.2600000000002</v>
      </c>
      <c r="E232" s="15">
        <f>C232*D232</f>
        <v>25332.600000000002</v>
      </c>
      <c r="I232" s="79"/>
      <c r="J232" s="79"/>
    </row>
    <row r="233" spans="1:10" x14ac:dyDescent="0.2">
      <c r="A233" s="13" t="s">
        <v>123</v>
      </c>
      <c r="B233" s="14" t="s">
        <v>9</v>
      </c>
      <c r="C233" s="89">
        <v>2</v>
      </c>
      <c r="D233" s="99"/>
      <c r="E233" s="15"/>
      <c r="I233" s="79"/>
      <c r="J233" s="79"/>
    </row>
    <row r="234" spans="1:10" x14ac:dyDescent="0.2">
      <c r="A234" s="13" t="s">
        <v>68</v>
      </c>
      <c r="B234" s="14" t="s">
        <v>9</v>
      </c>
      <c r="C234" s="15">
        <f>C232*C233</f>
        <v>20</v>
      </c>
      <c r="D234" s="81">
        <v>939.66</v>
      </c>
      <c r="E234" s="15">
        <f>C234*D234</f>
        <v>18793.2</v>
      </c>
      <c r="I234" s="79"/>
      <c r="J234" s="79"/>
    </row>
    <row r="235" spans="1:10" x14ac:dyDescent="0.2">
      <c r="A235" s="283" t="s">
        <v>301</v>
      </c>
      <c r="B235" s="17" t="s">
        <v>25</v>
      </c>
      <c r="C235" s="92">
        <v>80000</v>
      </c>
      <c r="D235" s="18">
        <f>E232+E234</f>
        <v>44125.8</v>
      </c>
      <c r="E235" s="18">
        <f>IFERROR(D235/C235,"-")</f>
        <v>0.55157250000000002</v>
      </c>
      <c r="I235" s="79"/>
      <c r="J235" s="79"/>
    </row>
    <row r="236" spans="1:10" ht="13.5" thickBot="1" x14ac:dyDescent="0.25">
      <c r="A236" s="16" t="s">
        <v>52</v>
      </c>
      <c r="B236" s="17" t="s">
        <v>17</v>
      </c>
      <c r="C236" s="88">
        <f>B209</f>
        <v>100</v>
      </c>
      <c r="D236" s="18">
        <f>E235</f>
        <v>0.55157250000000002</v>
      </c>
      <c r="E236" s="18">
        <f>IFERROR(C236*D236,0)</f>
        <v>55.157250000000005</v>
      </c>
      <c r="I236" s="79"/>
      <c r="J236" s="79"/>
    </row>
    <row r="237" spans="1:10" ht="13.5" thickBot="1" x14ac:dyDescent="0.25">
      <c r="F237" s="21">
        <f>E236</f>
        <v>55.157250000000005</v>
      </c>
      <c r="I237" s="79"/>
      <c r="J237" s="79"/>
    </row>
    <row r="238" spans="1:10" ht="11.25" customHeight="1" x14ac:dyDescent="0.2">
      <c r="I238" s="79"/>
      <c r="J238" s="79"/>
    </row>
    <row r="239" spans="1:10" ht="11.25" customHeight="1" thickBot="1" x14ac:dyDescent="0.25">
      <c r="G239" s="9"/>
    </row>
    <row r="240" spans="1:10" ht="13.5" thickBot="1" x14ac:dyDescent="0.25">
      <c r="A240" s="24" t="s">
        <v>222</v>
      </c>
      <c r="B240" s="25"/>
      <c r="C240" s="25"/>
      <c r="D240" s="26"/>
      <c r="E240" s="27"/>
      <c r="F240" s="21">
        <f>+SUM(F169:F239)</f>
        <v>12113.279496311112</v>
      </c>
      <c r="G240" s="9"/>
    </row>
    <row r="241" spans="1:7" ht="11.25" customHeight="1" x14ac:dyDescent="0.2">
      <c r="G241" s="9"/>
    </row>
    <row r="242" spans="1:7" x14ac:dyDescent="0.2">
      <c r="A242" s="11" t="s">
        <v>72</v>
      </c>
      <c r="B242" s="11"/>
      <c r="C242" s="11"/>
      <c r="D242" s="34"/>
      <c r="E242" s="34"/>
      <c r="F242" s="33"/>
      <c r="G242" s="9"/>
    </row>
    <row r="243" spans="1:7" ht="11.25" customHeight="1" thickBot="1" x14ac:dyDescent="0.25">
      <c r="G243" s="9"/>
    </row>
    <row r="244" spans="1:7" ht="13.5" thickBot="1" x14ac:dyDescent="0.25">
      <c r="A244" s="57" t="s">
        <v>61</v>
      </c>
      <c r="B244" s="58" t="s">
        <v>62</v>
      </c>
      <c r="C244" s="58" t="s">
        <v>37</v>
      </c>
      <c r="D244" s="59" t="s">
        <v>234</v>
      </c>
      <c r="E244" s="59" t="s">
        <v>63</v>
      </c>
      <c r="F244" s="60" t="s">
        <v>64</v>
      </c>
      <c r="G244" s="9"/>
    </row>
    <row r="245" spans="1:7" x14ac:dyDescent="0.2">
      <c r="A245" s="16" t="s">
        <v>69</v>
      </c>
      <c r="B245" s="17" t="s">
        <v>9</v>
      </c>
      <c r="C245" s="94">
        <v>0.16666666666666666</v>
      </c>
      <c r="D245" s="81">
        <v>39.89</v>
      </c>
      <c r="E245" s="18">
        <f>C245*D245</f>
        <v>6.6483333333333334</v>
      </c>
      <c r="F245" s="52"/>
      <c r="G245" s="9"/>
    </row>
    <row r="246" spans="1:7" x14ac:dyDescent="0.2">
      <c r="A246" s="16" t="s">
        <v>26</v>
      </c>
      <c r="B246" s="17" t="s">
        <v>9</v>
      </c>
      <c r="C246" s="94">
        <v>0.16666666666666666</v>
      </c>
      <c r="D246" s="81">
        <v>38.54</v>
      </c>
      <c r="E246" s="18">
        <f>C246*D246</f>
        <v>6.4233333333333329</v>
      </c>
      <c r="F246" s="52"/>
      <c r="G246" s="9"/>
    </row>
    <row r="247" spans="1:7" x14ac:dyDescent="0.2">
      <c r="A247" s="16" t="s">
        <v>27</v>
      </c>
      <c r="B247" s="17" t="s">
        <v>9</v>
      </c>
      <c r="C247" s="94">
        <v>0.33333333333333331</v>
      </c>
      <c r="D247" s="81">
        <v>31.72</v>
      </c>
      <c r="E247" s="18">
        <f>C247*D247</f>
        <v>10.573333333333332</v>
      </c>
      <c r="F247" s="52"/>
      <c r="G247" s="9"/>
    </row>
    <row r="248" spans="1:7" x14ac:dyDescent="0.2">
      <c r="A248" s="16" t="s">
        <v>54</v>
      </c>
      <c r="B248" s="17" t="s">
        <v>55</v>
      </c>
      <c r="C248" s="94">
        <v>8.3333333333333329E-2</v>
      </c>
      <c r="D248" s="81">
        <v>56.66</v>
      </c>
      <c r="E248" s="18">
        <f>C248*D248</f>
        <v>4.7216666666666658</v>
      </c>
      <c r="F248" s="52"/>
      <c r="G248" s="9"/>
    </row>
    <row r="249" spans="1:7" ht="13.5" thickBot="1" x14ac:dyDescent="0.25">
      <c r="A249" s="16" t="s">
        <v>57</v>
      </c>
      <c r="B249" s="17" t="s">
        <v>55</v>
      </c>
      <c r="C249" s="94">
        <v>8.3333333333333329E-2</v>
      </c>
      <c r="D249" s="81">
        <v>34.33</v>
      </c>
      <c r="E249" s="18">
        <f>C249*D249</f>
        <v>2.8608333333333329</v>
      </c>
      <c r="F249" s="52"/>
      <c r="G249" s="9"/>
    </row>
    <row r="250" spans="1:7" ht="13.5" thickBot="1" x14ac:dyDescent="0.25">
      <c r="A250" s="11"/>
      <c r="B250" s="11"/>
      <c r="C250" s="11"/>
      <c r="D250" s="11"/>
      <c r="E250" s="34"/>
      <c r="F250" s="21">
        <f>SUM(E245:E249)</f>
        <v>31.227499999999992</v>
      </c>
      <c r="G250" s="9"/>
    </row>
    <row r="251" spans="1:7" ht="11.25" customHeight="1" thickBot="1" x14ac:dyDescent="0.25">
      <c r="G251" s="9"/>
    </row>
    <row r="252" spans="1:7" ht="13.5" thickBot="1" x14ac:dyDescent="0.25">
      <c r="A252" s="24" t="s">
        <v>223</v>
      </c>
      <c r="B252" s="25"/>
      <c r="C252" s="25"/>
      <c r="D252" s="26"/>
      <c r="E252" s="27"/>
      <c r="F252" s="21">
        <f>+F250</f>
        <v>31.227499999999992</v>
      </c>
      <c r="G252" s="9"/>
    </row>
    <row r="253" spans="1:7" ht="11.25" customHeight="1" x14ac:dyDescent="0.2">
      <c r="G253" s="9"/>
    </row>
    <row r="254" spans="1:7" x14ac:dyDescent="0.2">
      <c r="A254" s="11" t="s">
        <v>73</v>
      </c>
      <c r="B254" s="11"/>
      <c r="C254" s="11"/>
      <c r="D254" s="34"/>
      <c r="E254" s="34"/>
      <c r="F254" s="33"/>
    </row>
    <row r="255" spans="1:7" ht="11.25" customHeight="1" thickBot="1" x14ac:dyDescent="0.25"/>
    <row r="256" spans="1:7" ht="13.5" thickBot="1" x14ac:dyDescent="0.25">
      <c r="A256" s="57" t="s">
        <v>61</v>
      </c>
      <c r="B256" s="58" t="s">
        <v>62</v>
      </c>
      <c r="C256" s="58" t="s">
        <v>37</v>
      </c>
      <c r="D256" s="59" t="s">
        <v>234</v>
      </c>
      <c r="E256" s="59" t="s">
        <v>63</v>
      </c>
      <c r="F256" s="60" t="s">
        <v>64</v>
      </c>
    </row>
    <row r="257" spans="1:7" x14ac:dyDescent="0.2">
      <c r="A257" s="16" t="s">
        <v>220</v>
      </c>
      <c r="B257" s="51" t="s">
        <v>55</v>
      </c>
      <c r="C257" s="66">
        <f>C169</f>
        <v>1</v>
      </c>
      <c r="D257" s="286">
        <v>430</v>
      </c>
      <c r="E257" s="287">
        <f>+D257*C257</f>
        <v>430</v>
      </c>
      <c r="F257" s="52"/>
    </row>
    <row r="258" spans="1:7" x14ac:dyDescent="0.2">
      <c r="A258" s="16" t="s">
        <v>58</v>
      </c>
      <c r="B258" s="51" t="s">
        <v>7</v>
      </c>
      <c r="C258" s="17">
        <v>60</v>
      </c>
      <c r="D258" s="287">
        <f>SUM(E257:E257)</f>
        <v>430</v>
      </c>
      <c r="E258" s="287">
        <f>+D258/C258</f>
        <v>7.166666666666667</v>
      </c>
      <c r="F258" s="52"/>
    </row>
    <row r="259" spans="1:7" x14ac:dyDescent="0.2">
      <c r="A259" s="16" t="s">
        <v>221</v>
      </c>
      <c r="B259" s="17" t="s">
        <v>9</v>
      </c>
      <c r="C259" s="66">
        <f>+C257</f>
        <v>1</v>
      </c>
      <c r="D259" s="286">
        <v>100</v>
      </c>
      <c r="E259" s="287">
        <f>C259*D259</f>
        <v>100</v>
      </c>
      <c r="F259" s="52"/>
    </row>
    <row r="260" spans="1:7" ht="13.5" thickBot="1" x14ac:dyDescent="0.25">
      <c r="A260" s="16" t="s">
        <v>34</v>
      </c>
      <c r="B260" s="51" t="s">
        <v>7</v>
      </c>
      <c r="C260" s="17">
        <v>1</v>
      </c>
      <c r="D260" s="287">
        <f>+E259</f>
        <v>100</v>
      </c>
      <c r="E260" s="287">
        <f>+D260/C260</f>
        <v>100</v>
      </c>
      <c r="F260" s="52"/>
    </row>
    <row r="261" spans="1:7" ht="13.5" thickBot="1" x14ac:dyDescent="0.25">
      <c r="A261" s="12"/>
      <c r="B261" s="12"/>
      <c r="C261" s="12"/>
      <c r="D261" s="288" t="s">
        <v>197</v>
      </c>
      <c r="E261" s="289">
        <f>$B$51</f>
        <v>0.8</v>
      </c>
      <c r="F261" s="21">
        <f>(E258+E260)*E261</f>
        <v>85.733333333333348</v>
      </c>
    </row>
    <row r="262" spans="1:7" s="50" customFormat="1" ht="11.25" customHeight="1" thickBot="1" x14ac:dyDescent="0.25">
      <c r="A262" s="9"/>
      <c r="B262" s="9"/>
      <c r="C262" s="9"/>
      <c r="D262" s="10"/>
      <c r="E262" s="10"/>
      <c r="F262" s="10"/>
      <c r="G262" s="78"/>
    </row>
    <row r="263" spans="1:7" ht="13.5" thickBot="1" x14ac:dyDescent="0.25">
      <c r="A263" s="24" t="s">
        <v>219</v>
      </c>
      <c r="B263" s="25"/>
      <c r="C263" s="25"/>
      <c r="D263" s="26"/>
      <c r="E263" s="27"/>
      <c r="F263" s="21">
        <f>+F261</f>
        <v>85.733333333333348</v>
      </c>
    </row>
    <row r="264" spans="1:7" ht="11.25" customHeight="1" thickBot="1" x14ac:dyDescent="0.25"/>
    <row r="265" spans="1:7" ht="17.25" customHeight="1" thickBot="1" x14ac:dyDescent="0.25">
      <c r="A265" s="24" t="s">
        <v>224</v>
      </c>
      <c r="B265" s="28"/>
      <c r="C265" s="28"/>
      <c r="D265" s="29"/>
      <c r="E265" s="30"/>
      <c r="F265" s="22">
        <f>+F127+F161+F240+F252+F263</f>
        <v>23786.470932467677</v>
      </c>
    </row>
    <row r="266" spans="1:7" ht="11.25" customHeight="1" x14ac:dyDescent="0.2"/>
    <row r="267" spans="1:7" x14ac:dyDescent="0.2">
      <c r="A267" s="11" t="s">
        <v>88</v>
      </c>
    </row>
    <row r="268" spans="1:7" ht="11.25" customHeight="1" thickBot="1" x14ac:dyDescent="0.25"/>
    <row r="269" spans="1:7" ht="13.5" thickBot="1" x14ac:dyDescent="0.25">
      <c r="A269" s="57" t="s">
        <v>61</v>
      </c>
      <c r="B269" s="58" t="s">
        <v>62</v>
      </c>
      <c r="C269" s="58" t="s">
        <v>37</v>
      </c>
      <c r="D269" s="59" t="s">
        <v>234</v>
      </c>
      <c r="E269" s="59" t="s">
        <v>63</v>
      </c>
      <c r="F269" s="60" t="s">
        <v>64</v>
      </c>
    </row>
    <row r="270" spans="1:7" ht="13.5" thickBot="1" x14ac:dyDescent="0.25">
      <c r="A270" s="13" t="s">
        <v>33</v>
      </c>
      <c r="B270" s="14" t="s">
        <v>1</v>
      </c>
      <c r="C270" s="131">
        <f>'4.BDI'!C20*100</f>
        <v>31.31</v>
      </c>
      <c r="D270" s="15">
        <f>+F265</f>
        <v>23786.470932467677</v>
      </c>
      <c r="E270" s="15">
        <f>C270*D270/100</f>
        <v>7447.5440489556295</v>
      </c>
    </row>
    <row r="271" spans="1:7" ht="13.5" thickBot="1" x14ac:dyDescent="0.25">
      <c r="F271" s="21">
        <f>+E270</f>
        <v>7447.5440489556295</v>
      </c>
    </row>
    <row r="272" spans="1:7" ht="11.25" customHeight="1" thickBot="1" x14ac:dyDescent="0.25"/>
    <row r="273" spans="1:7" ht="13.5" thickBot="1" x14ac:dyDescent="0.25">
      <c r="A273" s="24" t="s">
        <v>239</v>
      </c>
      <c r="B273" s="28"/>
      <c r="C273" s="28"/>
      <c r="D273" s="29"/>
      <c r="E273" s="30"/>
      <c r="F273" s="22">
        <f>F271</f>
        <v>7447.5440489556295</v>
      </c>
    </row>
    <row r="274" spans="1:7" x14ac:dyDescent="0.2">
      <c r="A274" s="11"/>
      <c r="B274" s="11"/>
      <c r="C274" s="11"/>
      <c r="D274" s="34"/>
      <c r="E274" s="34"/>
      <c r="F274" s="33"/>
    </row>
    <row r="275" spans="1:7" ht="11.25" customHeight="1" thickBot="1" x14ac:dyDescent="0.25"/>
    <row r="276" spans="1:7" ht="24.75" customHeight="1" thickBot="1" x14ac:dyDescent="0.25">
      <c r="A276" s="24" t="s">
        <v>225</v>
      </c>
      <c r="B276" s="28"/>
      <c r="C276" s="28"/>
      <c r="D276" s="29"/>
      <c r="E276" s="30"/>
      <c r="F276" s="22">
        <f>F265+F273</f>
        <v>31234.014981423308</v>
      </c>
    </row>
    <row r="277" spans="1:7" ht="12.6" customHeight="1" x14ac:dyDescent="0.2">
      <c r="A277" s="53"/>
      <c r="B277" s="53"/>
      <c r="C277" s="53"/>
      <c r="D277" s="54"/>
      <c r="E277" s="54"/>
      <c r="F277" s="54"/>
    </row>
    <row r="278" spans="1:7" ht="14.25" x14ac:dyDescent="0.2">
      <c r="A278" s="8"/>
      <c r="B278" s="8"/>
      <c r="C278" s="8"/>
      <c r="D278" s="35"/>
      <c r="E278" s="35"/>
    </row>
    <row r="279" spans="1:7" ht="12.6" customHeight="1" x14ac:dyDescent="0.2">
      <c r="A279" s="11"/>
      <c r="B279" s="11"/>
      <c r="C279" s="11"/>
      <c r="D279" s="34"/>
      <c r="E279" s="34"/>
      <c r="F279" s="34"/>
    </row>
    <row r="280" spans="1:7" s="4" customFormat="1" ht="9.75" customHeight="1" x14ac:dyDescent="0.2">
      <c r="A280" s="38"/>
      <c r="B280" s="10"/>
      <c r="C280" s="10"/>
      <c r="D280" s="10"/>
      <c r="E280" s="10"/>
      <c r="F280" s="10"/>
      <c r="G280" s="6"/>
    </row>
    <row r="281" spans="1:7" s="4" customFormat="1" ht="9.75" customHeight="1" x14ac:dyDescent="0.2">
      <c r="A281" s="38"/>
      <c r="B281" s="10"/>
      <c r="C281" s="10"/>
      <c r="D281" s="10"/>
      <c r="E281" s="10"/>
      <c r="F281" s="10"/>
      <c r="G281" s="6"/>
    </row>
    <row r="282" spans="1:7" s="4" customFormat="1" ht="9.75" customHeight="1" x14ac:dyDescent="0.2">
      <c r="A282" s="38"/>
      <c r="B282" s="10"/>
      <c r="C282" s="10"/>
      <c r="D282" s="10"/>
      <c r="E282" s="10"/>
      <c r="F282" s="10"/>
      <c r="G282" s="6"/>
    </row>
    <row r="312" s="9" customFormat="1" ht="9" customHeight="1" x14ac:dyDescent="0.2"/>
  </sheetData>
  <mergeCells count="7">
    <mergeCell ref="A47:D47"/>
    <mergeCell ref="A24:C24"/>
    <mergeCell ref="A11:F11"/>
    <mergeCell ref="A12:F12"/>
    <mergeCell ref="A40:D40"/>
    <mergeCell ref="A14:F14"/>
    <mergeCell ref="A39:E39"/>
  </mergeCells>
  <phoneticPr fontId="9" type="noConversion"/>
  <hyperlinks>
    <hyperlink ref="A183" location="AbaRemun" display="3.1.2. Remuneração do Capital" xr:uid="{00000000-0004-0000-0000-000000000000}"/>
    <hyperlink ref="A167" location="AbaDeprec" display="3.1.1. Depreciação" xr:uid="{00000000-0004-0000-0000-000001000000}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52" max="5" man="1"/>
    <brk id="106" max="5" man="1"/>
    <brk id="162" max="5" man="1"/>
    <brk id="229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zoomScaleNormal="100" workbookViewId="0">
      <selection activeCell="D31" sqref="D31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7" x14ac:dyDescent="0.2">
      <c r="A1" s="11" t="s">
        <v>205</v>
      </c>
    </row>
    <row r="2" spans="1:7" x14ac:dyDescent="0.2">
      <c r="A2" s="130" t="s">
        <v>245</v>
      </c>
    </row>
    <row r="3" spans="1:7" s="4" customFormat="1" ht="15.6" customHeight="1" x14ac:dyDescent="0.2">
      <c r="B3" s="5"/>
      <c r="C3" s="5"/>
      <c r="D3" s="5"/>
      <c r="E3" s="5"/>
      <c r="F3" s="5"/>
      <c r="G3" s="6"/>
    </row>
    <row r="4" spans="1:7" s="4" customFormat="1" ht="15.6" customHeight="1" x14ac:dyDescent="0.2">
      <c r="A4" s="273" t="s">
        <v>290</v>
      </c>
      <c r="B4" s="5"/>
      <c r="C4" s="5"/>
      <c r="D4" s="5"/>
      <c r="E4" s="5"/>
      <c r="F4" s="5"/>
      <c r="G4" s="6"/>
    </row>
    <row r="5" spans="1:7" s="4" customFormat="1" ht="16.5" customHeight="1" x14ac:dyDescent="0.2">
      <c r="A5" s="273" t="s">
        <v>287</v>
      </c>
      <c r="B5" s="5"/>
      <c r="C5" s="5"/>
      <c r="D5" s="6"/>
      <c r="E5" s="6"/>
      <c r="F5" s="6"/>
      <c r="G5" s="6"/>
    </row>
    <row r="6" spans="1:7" ht="13.5" thickBot="1" x14ac:dyDescent="0.25"/>
    <row r="7" spans="1:7" ht="18" x14ac:dyDescent="0.2">
      <c r="A7" s="310" t="s">
        <v>228</v>
      </c>
      <c r="B7" s="311"/>
      <c r="C7" s="312"/>
      <c r="D7" s="138"/>
      <c r="E7" s="138"/>
      <c r="F7" s="138"/>
    </row>
    <row r="8" spans="1:7" ht="14.25" x14ac:dyDescent="0.2">
      <c r="A8" s="154" t="s">
        <v>143</v>
      </c>
      <c r="B8" s="155" t="s">
        <v>144</v>
      </c>
      <c r="C8" s="156" t="s">
        <v>145</v>
      </c>
      <c r="D8" s="157"/>
    </row>
    <row r="9" spans="1:7" ht="14.25" x14ac:dyDescent="0.2">
      <c r="A9" s="154" t="s">
        <v>146</v>
      </c>
      <c r="B9" s="155" t="s">
        <v>38</v>
      </c>
      <c r="C9" s="158">
        <v>0.2</v>
      </c>
      <c r="D9" s="157"/>
    </row>
    <row r="10" spans="1:7" ht="14.25" x14ac:dyDescent="0.2">
      <c r="A10" s="154" t="s">
        <v>147</v>
      </c>
      <c r="B10" s="155" t="s">
        <v>148</v>
      </c>
      <c r="C10" s="158">
        <v>1.4999999999999999E-2</v>
      </c>
      <c r="D10" s="157"/>
    </row>
    <row r="11" spans="1:7" ht="14.25" x14ac:dyDescent="0.2">
      <c r="A11" s="154" t="s">
        <v>149</v>
      </c>
      <c r="B11" s="155" t="s">
        <v>150</v>
      </c>
      <c r="C11" s="158">
        <v>0.01</v>
      </c>
      <c r="D11" s="157"/>
    </row>
    <row r="12" spans="1:7" ht="14.25" x14ac:dyDescent="0.2">
      <c r="A12" s="154" t="s">
        <v>151</v>
      </c>
      <c r="B12" s="155" t="s">
        <v>152</v>
      </c>
      <c r="C12" s="158">
        <v>2E-3</v>
      </c>
      <c r="D12" s="157"/>
    </row>
    <row r="13" spans="1:7" ht="14.25" x14ac:dyDescent="0.2">
      <c r="A13" s="154" t="s">
        <v>153</v>
      </c>
      <c r="B13" s="155" t="s">
        <v>154</v>
      </c>
      <c r="C13" s="158">
        <v>6.0000000000000001E-3</v>
      </c>
      <c r="D13" s="157"/>
    </row>
    <row r="14" spans="1:7" ht="14.25" x14ac:dyDescent="0.2">
      <c r="A14" s="154" t="s">
        <v>155</v>
      </c>
      <c r="B14" s="155" t="s">
        <v>156</v>
      </c>
      <c r="C14" s="158">
        <v>2.5000000000000001E-2</v>
      </c>
      <c r="D14" s="157"/>
    </row>
    <row r="15" spans="1:7" ht="14.25" x14ac:dyDescent="0.2">
      <c r="A15" s="154" t="s">
        <v>157</v>
      </c>
      <c r="B15" s="155" t="s">
        <v>158</v>
      </c>
      <c r="C15" s="158">
        <v>0.03</v>
      </c>
      <c r="D15" s="157"/>
    </row>
    <row r="16" spans="1:7" ht="14.25" x14ac:dyDescent="0.2">
      <c r="A16" s="154" t="s">
        <v>159</v>
      </c>
      <c r="B16" s="155" t="s">
        <v>39</v>
      </c>
      <c r="C16" s="158">
        <v>0.08</v>
      </c>
      <c r="D16" s="157"/>
    </row>
    <row r="17" spans="1:8" ht="15" x14ac:dyDescent="0.2">
      <c r="A17" s="154" t="s">
        <v>160</v>
      </c>
      <c r="B17" s="159" t="s">
        <v>161</v>
      </c>
      <c r="C17" s="160">
        <f>SUM(C9:C16)</f>
        <v>0.36800000000000005</v>
      </c>
      <c r="D17" s="157"/>
    </row>
    <row r="18" spans="1:8" ht="15" x14ac:dyDescent="0.2">
      <c r="A18" s="161"/>
      <c r="B18" s="162"/>
      <c r="C18" s="163"/>
      <c r="D18" s="157"/>
    </row>
    <row r="19" spans="1:8" ht="14.25" x14ac:dyDescent="0.2">
      <c r="A19" s="154" t="s">
        <v>162</v>
      </c>
      <c r="B19" s="164" t="s">
        <v>163</v>
      </c>
      <c r="C19" s="158">
        <f>ROUND(IF('3.CAGED'!C28&gt;24,(1-12/'3.CAGED'!C28)*0.1111,0.1111-C28),4)</f>
        <v>6.1899999999999997E-2</v>
      </c>
      <c r="D19" s="157"/>
    </row>
    <row r="20" spans="1:8" ht="14.25" x14ac:dyDescent="0.2">
      <c r="A20" s="154" t="s">
        <v>164</v>
      </c>
      <c r="B20" s="164" t="s">
        <v>165</v>
      </c>
      <c r="C20" s="158">
        <f>ROUND('3.CAGED'!C32/'3.CAGED'!C29,4)</f>
        <v>8.3299999999999999E-2</v>
      </c>
      <c r="D20" s="157"/>
    </row>
    <row r="21" spans="1:8" ht="14.25" x14ac:dyDescent="0.2">
      <c r="A21" s="154" t="s">
        <v>217</v>
      </c>
      <c r="B21" s="164" t="s">
        <v>167</v>
      </c>
      <c r="C21" s="158">
        <v>5.9999999999999995E-4</v>
      </c>
      <c r="D21" s="157"/>
    </row>
    <row r="22" spans="1:8" ht="14.25" x14ac:dyDescent="0.2">
      <c r="A22" s="154" t="s">
        <v>166</v>
      </c>
      <c r="B22" s="164" t="s">
        <v>169</v>
      </c>
      <c r="C22" s="158">
        <v>8.2000000000000007E-3</v>
      </c>
      <c r="D22" s="157"/>
    </row>
    <row r="23" spans="1:8" ht="14.25" x14ac:dyDescent="0.2">
      <c r="A23" s="154" t="s">
        <v>168</v>
      </c>
      <c r="B23" s="164" t="s">
        <v>171</v>
      </c>
      <c r="C23" s="158">
        <v>3.0999999999999999E-3</v>
      </c>
      <c r="D23" s="157"/>
    </row>
    <row r="24" spans="1:8" ht="14.25" x14ac:dyDescent="0.2">
      <c r="A24" s="154" t="s">
        <v>170</v>
      </c>
      <c r="B24" s="164" t="s">
        <v>172</v>
      </c>
      <c r="C24" s="158">
        <v>1.66E-2</v>
      </c>
      <c r="D24" s="157"/>
    </row>
    <row r="25" spans="1:8" ht="15" x14ac:dyDescent="0.2">
      <c r="A25" s="154" t="s">
        <v>173</v>
      </c>
      <c r="B25" s="159" t="s">
        <v>174</v>
      </c>
      <c r="C25" s="160">
        <f>SUM(C19:C24)</f>
        <v>0.17369999999999999</v>
      </c>
      <c r="D25" s="165"/>
    </row>
    <row r="26" spans="1:8" ht="15" x14ac:dyDescent="0.2">
      <c r="A26" s="161"/>
      <c r="B26" s="162"/>
      <c r="C26" s="163"/>
      <c r="D26" s="165"/>
    </row>
    <row r="27" spans="1:8" ht="14.25" x14ac:dyDescent="0.2">
      <c r="A27" s="154" t="s">
        <v>175</v>
      </c>
      <c r="B27" s="155" t="s">
        <v>176</v>
      </c>
      <c r="C27" s="158">
        <f>ROUND(('3.CAGED'!C33) *'3.CAGED'!C26/'3.CAGED'!C29,4)</f>
        <v>2.5600000000000001E-2</v>
      </c>
      <c r="D27" s="157"/>
      <c r="E27" s="166"/>
    </row>
    <row r="28" spans="1:8" ht="14.25" x14ac:dyDescent="0.2">
      <c r="A28" s="154" t="s">
        <v>216</v>
      </c>
      <c r="B28" s="155" t="s">
        <v>178</v>
      </c>
      <c r="C28" s="158">
        <f>ROUND(IF('3.CAGED'!C28&gt;12,12/'3.CAGED'!C28*0.1111,0.1111),4)</f>
        <v>4.9200000000000001E-2</v>
      </c>
      <c r="D28" s="157"/>
      <c r="H28" s="167"/>
    </row>
    <row r="29" spans="1:8" ht="14.25" x14ac:dyDescent="0.2">
      <c r="A29" s="154" t="s">
        <v>177</v>
      </c>
      <c r="B29" s="155" t="s">
        <v>180</v>
      </c>
      <c r="C29" s="158">
        <f>C27*C28</f>
        <v>1.2595200000000001E-3</v>
      </c>
      <c r="D29" s="157"/>
      <c r="E29" s="166"/>
    </row>
    <row r="30" spans="1:8" ht="14.25" x14ac:dyDescent="0.2">
      <c r="A30" s="154" t="s">
        <v>179</v>
      </c>
      <c r="B30" s="155" t="s">
        <v>182</v>
      </c>
      <c r="C30" s="158">
        <f>ROUND(('3.CAGED'!C29+'3.CAGED'!C30+'3.CAGED'!C32)/'3.CAGED'!C27*'3.CAGED'!C34*'3.CAGED'!C35*'3.CAGED'!C26/'3.CAGED'!C29,4)</f>
        <v>2.0500000000000001E-2</v>
      </c>
      <c r="D30" s="157"/>
      <c r="G30" s="166"/>
    </row>
    <row r="31" spans="1:8" ht="14.25" x14ac:dyDescent="0.2">
      <c r="A31" s="154" t="s">
        <v>181</v>
      </c>
      <c r="B31" s="155" t="s">
        <v>183</v>
      </c>
      <c r="C31" s="158">
        <f>ROUND(('3.CAGED'!C31/'3.CAGED'!C29)*'3.CAGED'!C26/12,4)</f>
        <v>1.8E-3</v>
      </c>
      <c r="D31" s="157"/>
    </row>
    <row r="32" spans="1:8" ht="15" x14ac:dyDescent="0.2">
      <c r="A32" s="154" t="s">
        <v>184</v>
      </c>
      <c r="B32" s="159" t="s">
        <v>185</v>
      </c>
      <c r="C32" s="160">
        <f>SUM(C27:C31)</f>
        <v>9.8359520000000006E-2</v>
      </c>
      <c r="D32" s="165"/>
    </row>
    <row r="33" spans="1:4" ht="15" x14ac:dyDescent="0.2">
      <c r="A33" s="161"/>
      <c r="B33" s="162"/>
      <c r="C33" s="163"/>
      <c r="D33" s="165"/>
    </row>
    <row r="34" spans="1:4" ht="14.25" x14ac:dyDescent="0.2">
      <c r="A34" s="154" t="s">
        <v>186</v>
      </c>
      <c r="B34" s="155" t="s">
        <v>187</v>
      </c>
      <c r="C34" s="158">
        <f>ROUND(C17*C25,4)</f>
        <v>6.3899999999999998E-2</v>
      </c>
      <c r="D34" s="157"/>
    </row>
    <row r="35" spans="1:4" ht="28.5" x14ac:dyDescent="0.2">
      <c r="A35" s="154" t="s">
        <v>188</v>
      </c>
      <c r="B35" s="168" t="s">
        <v>286</v>
      </c>
      <c r="C35" s="158">
        <f>ROUND((C27*C16),4)</f>
        <v>2E-3</v>
      </c>
      <c r="D35" s="157"/>
    </row>
    <row r="36" spans="1:4" ht="15" x14ac:dyDescent="0.2">
      <c r="A36" s="154" t="s">
        <v>189</v>
      </c>
      <c r="B36" s="159" t="s">
        <v>190</v>
      </c>
      <c r="C36" s="160">
        <f>SUM(C34:C35)</f>
        <v>6.59E-2</v>
      </c>
      <c r="D36" s="165"/>
    </row>
    <row r="37" spans="1:4" ht="15.75" thickBot="1" x14ac:dyDescent="0.25">
      <c r="A37" s="169"/>
      <c r="B37" s="170" t="s">
        <v>191</v>
      </c>
      <c r="C37" s="171">
        <f>C36+C32+C25+C17</f>
        <v>0.70595951999999995</v>
      </c>
      <c r="D37" s="165"/>
    </row>
    <row r="38" spans="1:4" ht="15" x14ac:dyDescent="0.2">
      <c r="A38" s="157"/>
      <c r="B38" s="172"/>
      <c r="C38" s="173"/>
      <c r="D38" s="174"/>
    </row>
    <row r="39" spans="1:4" ht="14.25" x14ac:dyDescent="0.2">
      <c r="A39" s="157"/>
      <c r="B39" s="157"/>
      <c r="C39" s="175"/>
      <c r="D39" s="176"/>
    </row>
    <row r="40" spans="1:4" ht="14.25" x14ac:dyDescent="0.2">
      <c r="A40" s="157"/>
      <c r="B40" s="157"/>
      <c r="C40" s="175"/>
      <c r="D40" s="157"/>
    </row>
    <row r="41" spans="1:4" ht="14.25" x14ac:dyDescent="0.2">
      <c r="A41" s="157"/>
      <c r="B41" s="157"/>
      <c r="C41" s="175"/>
      <c r="D41" s="157"/>
    </row>
    <row r="42" spans="1:4" ht="14.25" x14ac:dyDescent="0.2">
      <c r="A42" s="157"/>
      <c r="B42" s="157"/>
      <c r="C42" s="175"/>
      <c r="D42" s="157"/>
    </row>
    <row r="43" spans="1:4" ht="15" x14ac:dyDescent="0.2">
      <c r="A43" s="157"/>
      <c r="B43" s="172"/>
      <c r="C43" s="173"/>
      <c r="D43" s="157"/>
    </row>
    <row r="44" spans="1:4" ht="15" x14ac:dyDescent="0.2">
      <c r="A44" s="165"/>
      <c r="B44" s="172"/>
      <c r="C44" s="173"/>
      <c r="D44" s="165"/>
    </row>
    <row r="45" spans="1:4" ht="16.5" x14ac:dyDescent="0.2">
      <c r="A45" s="177"/>
    </row>
    <row r="46" spans="1:4" x14ac:dyDescent="0.2">
      <c r="A46" s="178"/>
      <c r="B46" s="179"/>
      <c r="C46" s="179"/>
    </row>
    <row r="47" spans="1:4" ht="14.25" x14ac:dyDescent="0.2">
      <c r="A47" s="157"/>
      <c r="B47" s="180"/>
      <c r="C47" s="179"/>
    </row>
    <row r="48" spans="1:4" ht="14.25" x14ac:dyDescent="0.2">
      <c r="A48" s="157"/>
      <c r="B48" s="180"/>
      <c r="C48" s="157"/>
    </row>
    <row r="49" spans="1:3" ht="14.25" x14ac:dyDescent="0.2">
      <c r="A49" s="157"/>
      <c r="B49" s="175"/>
      <c r="C49" s="179"/>
    </row>
    <row r="50" spans="1:3" ht="14.25" x14ac:dyDescent="0.2">
      <c r="A50" s="157"/>
      <c r="B50" s="180"/>
      <c r="C50" s="157"/>
    </row>
    <row r="51" spans="1:3" ht="14.25" x14ac:dyDescent="0.2">
      <c r="A51" s="157"/>
      <c r="B51" s="175"/>
      <c r="C51" s="179"/>
    </row>
    <row r="52" spans="1:3" ht="14.25" x14ac:dyDescent="0.2">
      <c r="A52" s="157"/>
      <c r="B52" s="180"/>
      <c r="C52" s="157"/>
    </row>
    <row r="53" spans="1:3" ht="14.25" x14ac:dyDescent="0.2">
      <c r="A53" s="157"/>
      <c r="B53" s="175"/>
      <c r="C53" s="179"/>
    </row>
    <row r="54" spans="1:3" ht="14.25" x14ac:dyDescent="0.2">
      <c r="A54" s="157"/>
      <c r="B54" s="180"/>
      <c r="C54" s="157"/>
    </row>
    <row r="55" spans="1:3" ht="14.25" x14ac:dyDescent="0.2">
      <c r="A55" s="157"/>
      <c r="B55" s="175"/>
      <c r="C55" s="179"/>
    </row>
    <row r="56" spans="1:3" ht="16.5" x14ac:dyDescent="0.2">
      <c r="A56" s="177"/>
    </row>
    <row r="59" spans="1:3" x14ac:dyDescent="0.2">
      <c r="A59" s="181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4" zoomScaleNormal="100" workbookViewId="0">
      <selection activeCell="C12" sqref="C12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1" t="s">
        <v>240</v>
      </c>
    </row>
    <row r="3" spans="1:3" x14ac:dyDescent="0.2">
      <c r="A3" s="274" t="s">
        <v>298</v>
      </c>
    </row>
    <row r="5" spans="1:3" x14ac:dyDescent="0.2">
      <c r="A5" s="274" t="s">
        <v>297</v>
      </c>
    </row>
    <row r="6" spans="1:3" ht="13.5" thickBot="1" x14ac:dyDescent="0.25"/>
    <row r="7" spans="1:3" ht="18" x14ac:dyDescent="0.25">
      <c r="B7" s="313" t="s">
        <v>226</v>
      </c>
      <c r="C7" s="314"/>
    </row>
    <row r="8" spans="1:3" ht="15" x14ac:dyDescent="0.25">
      <c r="B8" s="143" t="s">
        <v>207</v>
      </c>
      <c r="C8" s="182"/>
    </row>
    <row r="9" spans="1:3" ht="15" x14ac:dyDescent="0.25">
      <c r="B9" s="144" t="s">
        <v>127</v>
      </c>
      <c r="C9" s="145">
        <v>2100</v>
      </c>
    </row>
    <row r="10" spans="1:3" ht="15" x14ac:dyDescent="0.25">
      <c r="B10" s="146" t="s">
        <v>128</v>
      </c>
      <c r="C10" s="145">
        <v>2031</v>
      </c>
    </row>
    <row r="11" spans="1:3" ht="14.25" x14ac:dyDescent="0.2">
      <c r="B11" s="183" t="s">
        <v>129</v>
      </c>
      <c r="C11" s="184">
        <v>44</v>
      </c>
    </row>
    <row r="12" spans="1:3" ht="14.25" x14ac:dyDescent="0.2">
      <c r="B12" s="183" t="s">
        <v>130</v>
      </c>
      <c r="C12" s="184">
        <v>1192</v>
      </c>
    </row>
    <row r="13" spans="1:3" ht="14.25" x14ac:dyDescent="0.2">
      <c r="B13" s="183" t="s">
        <v>131</v>
      </c>
      <c r="C13" s="184">
        <v>372</v>
      </c>
    </row>
    <row r="14" spans="1:3" ht="14.25" x14ac:dyDescent="0.2">
      <c r="B14" s="183" t="s">
        <v>132</v>
      </c>
      <c r="C14" s="184">
        <v>22</v>
      </c>
    </row>
    <row r="15" spans="1:3" ht="14.25" x14ac:dyDescent="0.2">
      <c r="B15" s="183" t="s">
        <v>133</v>
      </c>
      <c r="C15" s="184">
        <v>350</v>
      </c>
    </row>
    <row r="16" spans="1:3" ht="14.25" x14ac:dyDescent="0.2">
      <c r="B16" s="183" t="s">
        <v>134</v>
      </c>
      <c r="C16" s="184">
        <v>1</v>
      </c>
    </row>
    <row r="17" spans="1:5" ht="14.25" x14ac:dyDescent="0.2">
      <c r="B17" s="183" t="s">
        <v>135</v>
      </c>
      <c r="C17" s="184">
        <v>30</v>
      </c>
    </row>
    <row r="18" spans="1:5" ht="14.25" x14ac:dyDescent="0.2">
      <c r="B18" s="185" t="s">
        <v>136</v>
      </c>
      <c r="C18" s="186">
        <v>0</v>
      </c>
    </row>
    <row r="19" spans="1:5" ht="14.25" x14ac:dyDescent="0.2">
      <c r="B19" s="280" t="s">
        <v>293</v>
      </c>
      <c r="C19" s="186">
        <v>0</v>
      </c>
    </row>
    <row r="20" spans="1:5" ht="15" x14ac:dyDescent="0.25">
      <c r="A20" s="1" t="s">
        <v>137</v>
      </c>
      <c r="B20" s="143" t="s">
        <v>138</v>
      </c>
      <c r="C20" s="182"/>
    </row>
    <row r="21" spans="1:5" ht="14.25" x14ac:dyDescent="0.2">
      <c r="B21" s="187" t="s">
        <v>295</v>
      </c>
      <c r="C21" s="188">
        <v>4625</v>
      </c>
    </row>
    <row r="22" spans="1:5" ht="14.25" x14ac:dyDescent="0.2">
      <c r="B22" s="183" t="s">
        <v>296</v>
      </c>
      <c r="C22" s="184">
        <v>4694</v>
      </c>
    </row>
    <row r="23" spans="1:5" ht="14.25" x14ac:dyDescent="0.2">
      <c r="B23" s="183" t="s">
        <v>294</v>
      </c>
      <c r="C23" s="206">
        <f>C9-C10</f>
        <v>69</v>
      </c>
    </row>
    <row r="24" spans="1:5" ht="14.25" x14ac:dyDescent="0.2">
      <c r="B24" s="189"/>
      <c r="C24" s="190"/>
    </row>
    <row r="25" spans="1:5" s="101" customFormat="1" ht="15" x14ac:dyDescent="0.25">
      <c r="B25" s="144" t="s">
        <v>140</v>
      </c>
      <c r="C25" s="191">
        <f>MEDIAN(C21,C22)</f>
        <v>4659.5</v>
      </c>
    </row>
    <row r="26" spans="1:5" ht="15" x14ac:dyDescent="0.25">
      <c r="B26" s="146" t="s">
        <v>291</v>
      </c>
      <c r="C26" s="278">
        <f>C12/C25</f>
        <v>0.25582144006867691</v>
      </c>
    </row>
    <row r="27" spans="1:5" ht="15" x14ac:dyDescent="0.25">
      <c r="B27" s="146" t="s">
        <v>292</v>
      </c>
      <c r="C27" s="278">
        <f>MEDIAN(C9,C10)/C25</f>
        <v>0.44328790642772831</v>
      </c>
      <c r="E27" s="249"/>
    </row>
    <row r="28" spans="1:5" s="101" customFormat="1" ht="15" x14ac:dyDescent="0.25">
      <c r="B28" s="146" t="s">
        <v>246</v>
      </c>
      <c r="C28" s="276">
        <f>12/C27</f>
        <v>27.070442992011618</v>
      </c>
    </row>
    <row r="29" spans="1:5" ht="15" x14ac:dyDescent="0.25">
      <c r="B29" s="146" t="s">
        <v>139</v>
      </c>
      <c r="C29" s="148">
        <v>360</v>
      </c>
    </row>
    <row r="30" spans="1:5" ht="15" x14ac:dyDescent="0.25">
      <c r="B30" s="146" t="s">
        <v>241</v>
      </c>
      <c r="C30" s="148">
        <v>10</v>
      </c>
    </row>
    <row r="31" spans="1:5" ht="15" x14ac:dyDescent="0.25">
      <c r="B31" s="144" t="s">
        <v>242</v>
      </c>
      <c r="C31" s="147">
        <v>30</v>
      </c>
    </row>
    <row r="32" spans="1:5" ht="15" x14ac:dyDescent="0.25">
      <c r="B32" s="144" t="s">
        <v>243</v>
      </c>
      <c r="C32" s="147">
        <v>30</v>
      </c>
    </row>
    <row r="33" spans="2:4" s="101" customFormat="1" ht="15" x14ac:dyDescent="0.25">
      <c r="B33" s="144" t="s">
        <v>142</v>
      </c>
      <c r="C33" s="147">
        <f>30+(3*TRUNC(1/C27))</f>
        <v>36</v>
      </c>
    </row>
    <row r="34" spans="2:4" s="101" customFormat="1" ht="15" x14ac:dyDescent="0.25">
      <c r="B34" s="146" t="s">
        <v>39</v>
      </c>
      <c r="C34" s="277">
        <v>0.08</v>
      </c>
    </row>
    <row r="35" spans="2:4" s="101" customFormat="1" ht="15.75" thickBot="1" x14ac:dyDescent="0.3">
      <c r="B35" s="149" t="s">
        <v>141</v>
      </c>
      <c r="C35" s="279">
        <v>0.4</v>
      </c>
      <c r="D35" s="101" t="s">
        <v>299</v>
      </c>
    </row>
  </sheetData>
  <mergeCells count="1">
    <mergeCell ref="B7:C7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zoomScaleNormal="100" workbookViewId="0">
      <selection activeCell="C16" sqref="C16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4" bestFit="1" customWidth="1"/>
    <col min="6" max="6" width="9.7109375" bestFit="1" customWidth="1"/>
  </cols>
  <sheetData>
    <row r="1" spans="1:8" s="135" customFormat="1" ht="14.25" x14ac:dyDescent="0.2">
      <c r="A1" s="11" t="s">
        <v>205</v>
      </c>
      <c r="B1" s="8"/>
      <c r="C1" s="8"/>
      <c r="E1" s="136"/>
    </row>
    <row r="2" spans="1:8" s="135" customFormat="1" ht="14.25" x14ac:dyDescent="0.2">
      <c r="A2" s="130" t="s">
        <v>247</v>
      </c>
      <c r="B2" s="8"/>
      <c r="C2" s="8"/>
      <c r="E2" s="136"/>
    </row>
    <row r="3" spans="1:8" s="135" customFormat="1" ht="14.25" x14ac:dyDescent="0.2">
      <c r="A3" s="9" t="s">
        <v>206</v>
      </c>
      <c r="B3" s="8"/>
      <c r="C3" s="8"/>
      <c r="E3" s="136"/>
    </row>
    <row r="4" spans="1:8" s="135" customFormat="1" ht="14.25" x14ac:dyDescent="0.2">
      <c r="A4" s="9"/>
      <c r="B4" s="8"/>
      <c r="C4" s="8"/>
      <c r="E4" s="136"/>
    </row>
    <row r="5" spans="1:8" s="4" customFormat="1" ht="15.6" customHeight="1" x14ac:dyDescent="0.2">
      <c r="A5" s="273" t="s">
        <v>290</v>
      </c>
      <c r="B5" s="5"/>
      <c r="C5" s="5"/>
      <c r="D5" s="5"/>
      <c r="E5" s="5"/>
      <c r="F5" s="5"/>
      <c r="G5" s="6"/>
    </row>
    <row r="6" spans="1:8" s="4" customFormat="1" ht="16.5" customHeight="1" x14ac:dyDescent="0.2">
      <c r="A6" s="273" t="s">
        <v>287</v>
      </c>
      <c r="B6" s="5"/>
      <c r="C6" s="5"/>
      <c r="D6" s="6"/>
      <c r="E6" s="6"/>
      <c r="F6" s="6"/>
      <c r="G6" s="6"/>
    </row>
    <row r="7" spans="1:8" s="135" customFormat="1" ht="15" thickBot="1" x14ac:dyDescent="0.25">
      <c r="B7" s="8"/>
      <c r="C7" s="8"/>
      <c r="E7" s="136"/>
    </row>
    <row r="8" spans="1:8" ht="15.75" x14ac:dyDescent="0.2">
      <c r="A8" s="320" t="s">
        <v>227</v>
      </c>
      <c r="B8" s="321"/>
      <c r="C8" s="321"/>
      <c r="D8" s="321"/>
      <c r="E8" s="321"/>
      <c r="F8" s="322"/>
    </row>
    <row r="9" spans="1:8" ht="16.5" thickBot="1" x14ac:dyDescent="0.25">
      <c r="A9" s="236"/>
      <c r="B9" s="237"/>
      <c r="C9" s="237"/>
      <c r="D9" s="237"/>
      <c r="E9" s="237"/>
      <c r="F9" s="238"/>
    </row>
    <row r="10" spans="1:8" ht="15" x14ac:dyDescent="0.25">
      <c r="A10" s="192"/>
      <c r="B10" s="8"/>
      <c r="C10" s="8"/>
      <c r="D10" s="317" t="s">
        <v>244</v>
      </c>
      <c r="E10" s="318"/>
      <c r="F10" s="319"/>
      <c r="G10" s="135"/>
      <c r="H10" s="135"/>
    </row>
    <row r="11" spans="1:8" ht="15" thickBot="1" x14ac:dyDescent="0.25">
      <c r="A11" s="189"/>
      <c r="B11" s="135"/>
      <c r="C11" s="135"/>
      <c r="D11" s="193" t="s">
        <v>192</v>
      </c>
      <c r="E11" s="194" t="s">
        <v>193</v>
      </c>
      <c r="F11" s="195" t="s">
        <v>194</v>
      </c>
      <c r="G11" s="135"/>
      <c r="H11" s="135"/>
    </row>
    <row r="12" spans="1:8" ht="14.25" x14ac:dyDescent="0.2">
      <c r="A12" s="196" t="s">
        <v>74</v>
      </c>
      <c r="B12" s="197" t="s">
        <v>75</v>
      </c>
      <c r="C12" s="198">
        <v>0.05</v>
      </c>
      <c r="D12" s="219">
        <v>2.9700000000000001E-2</v>
      </c>
      <c r="E12" s="220">
        <v>5.0799999999999998E-2</v>
      </c>
      <c r="F12" s="221">
        <v>6.2700000000000006E-2</v>
      </c>
      <c r="G12" s="135"/>
      <c r="H12" s="135"/>
    </row>
    <row r="13" spans="1:8" ht="14.25" x14ac:dyDescent="0.2">
      <c r="A13" s="200" t="s">
        <v>76</v>
      </c>
      <c r="B13" s="201" t="s">
        <v>77</v>
      </c>
      <c r="C13" s="202">
        <v>1.3299999999999999E-2</v>
      </c>
      <c r="D13" s="219">
        <f>0.3%+0.56%</f>
        <v>8.6E-3</v>
      </c>
      <c r="E13" s="220">
        <f>0.48%+0.85%</f>
        <v>1.3299999999999999E-2</v>
      </c>
      <c r="F13" s="221">
        <f>0.82%+0.89%</f>
        <v>1.7099999999999997E-2</v>
      </c>
      <c r="G13" s="135"/>
      <c r="H13" s="135"/>
    </row>
    <row r="14" spans="1:8" ht="14.25" x14ac:dyDescent="0.2">
      <c r="A14" s="200" t="s">
        <v>78</v>
      </c>
      <c r="B14" s="201" t="s">
        <v>79</v>
      </c>
      <c r="C14" s="202">
        <v>0.12</v>
      </c>
      <c r="D14" s="219">
        <v>7.7799999999999994E-2</v>
      </c>
      <c r="E14" s="220">
        <v>0.1085</v>
      </c>
      <c r="F14" s="221">
        <v>0.13550000000000001</v>
      </c>
      <c r="G14" s="135"/>
      <c r="H14" s="135"/>
    </row>
    <row r="15" spans="1:8" ht="14.25" x14ac:dyDescent="0.2">
      <c r="A15" s="200" t="s">
        <v>80</v>
      </c>
      <c r="B15" s="201" t="s">
        <v>81</v>
      </c>
      <c r="C15" s="203">
        <f>(1+E15)^(E16/252)-1</f>
        <v>9.669405357782157E-3</v>
      </c>
      <c r="D15" s="219" t="s">
        <v>278</v>
      </c>
      <c r="E15" s="204">
        <v>6.25E-2</v>
      </c>
      <c r="F15" s="199"/>
      <c r="G15" s="135"/>
      <c r="H15" s="135"/>
    </row>
    <row r="16" spans="1:8" ht="14.25" x14ac:dyDescent="0.2">
      <c r="A16" s="200" t="s">
        <v>82</v>
      </c>
      <c r="B16" s="315" t="s">
        <v>83</v>
      </c>
      <c r="C16" s="202">
        <v>4.7800000000000002E-2</v>
      </c>
      <c r="D16" s="270" t="s">
        <v>195</v>
      </c>
      <c r="E16" s="205">
        <v>40</v>
      </c>
      <c r="F16" s="206"/>
      <c r="G16" s="135"/>
      <c r="H16" s="135"/>
    </row>
    <row r="17" spans="1:8" ht="15" thickBot="1" x14ac:dyDescent="0.25">
      <c r="A17" s="207" t="s">
        <v>84</v>
      </c>
      <c r="B17" s="316"/>
      <c r="C17" s="208">
        <v>3.6499999999999998E-2</v>
      </c>
      <c r="D17" s="183"/>
      <c r="E17" s="209"/>
      <c r="F17" s="206"/>
      <c r="G17" s="135"/>
      <c r="H17" s="135"/>
    </row>
    <row r="18" spans="1:8" ht="14.25" x14ac:dyDescent="0.2">
      <c r="A18" s="210" t="s">
        <v>85</v>
      </c>
      <c r="B18" s="211"/>
      <c r="C18" s="212"/>
      <c r="D18" s="183"/>
      <c r="E18" s="209"/>
      <c r="F18" s="206"/>
      <c r="G18" s="135"/>
      <c r="H18" s="135"/>
    </row>
    <row r="19" spans="1:8" ht="15" thickBot="1" x14ac:dyDescent="0.25">
      <c r="A19" s="213" t="s">
        <v>86</v>
      </c>
      <c r="B19" s="214"/>
      <c r="C19" s="215"/>
      <c r="D19" s="183"/>
      <c r="E19" s="209"/>
      <c r="F19" s="206"/>
      <c r="G19" s="135"/>
      <c r="H19" s="135"/>
    </row>
    <row r="20" spans="1:8" ht="15.75" thickBot="1" x14ac:dyDescent="0.25">
      <c r="A20" s="216" t="s">
        <v>87</v>
      </c>
      <c r="B20" s="217"/>
      <c r="C20" s="218">
        <f>ROUND((((1+C12+C13)*(1+C14)*(1+C15))/(1-(C16+C17))-1),4)</f>
        <v>0.31309999999999999</v>
      </c>
      <c r="D20" s="222">
        <v>0.21429999999999999</v>
      </c>
      <c r="E20" s="223">
        <v>0.2717</v>
      </c>
      <c r="F20" s="224">
        <v>0.3362</v>
      </c>
      <c r="G20" s="135"/>
      <c r="H20" s="135"/>
    </row>
    <row r="21" spans="1:8" ht="14.25" x14ac:dyDescent="0.2">
      <c r="A21" s="135"/>
      <c r="B21" s="135"/>
      <c r="C21" s="135"/>
      <c r="D21" s="135"/>
      <c r="E21" s="136"/>
      <c r="F21" s="135"/>
      <c r="G21" s="135"/>
      <c r="H21" s="135"/>
    </row>
    <row r="22" spans="1:8" ht="14.25" x14ac:dyDescent="0.2">
      <c r="A22" s="135"/>
      <c r="B22" s="135"/>
      <c r="C22" s="135"/>
      <c r="D22" s="135"/>
      <c r="E22" s="136"/>
      <c r="F22" s="135"/>
      <c r="G22" s="135"/>
      <c r="H22" s="135"/>
    </row>
    <row r="23" spans="1:8" ht="14.25" x14ac:dyDescent="0.2">
      <c r="A23" s="135"/>
      <c r="B23" s="135"/>
      <c r="C23" s="135"/>
      <c r="D23" s="135"/>
      <c r="E23" s="136"/>
      <c r="F23" s="135"/>
      <c r="G23" s="135"/>
      <c r="H23" s="135"/>
    </row>
    <row r="24" spans="1:8" ht="14.25" x14ac:dyDescent="0.2">
      <c r="A24" s="135"/>
      <c r="B24" s="135"/>
      <c r="C24" s="135"/>
      <c r="D24" s="135"/>
      <c r="E24" s="136"/>
      <c r="F24" s="135"/>
      <c r="G24" s="135"/>
      <c r="H24" s="135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workbookViewId="0">
      <selection activeCell="B3" sqref="B3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23" t="s">
        <v>229</v>
      </c>
      <c r="B1" s="324"/>
    </row>
    <row r="2" spans="1:2" s="101" customFormat="1" ht="19.5" customHeight="1" x14ac:dyDescent="0.2">
      <c r="A2" s="239" t="s">
        <v>208</v>
      </c>
      <c r="B2" s="240" t="s">
        <v>280</v>
      </c>
    </row>
    <row r="3" spans="1:2" ht="19.5" customHeight="1" x14ac:dyDescent="0.2">
      <c r="A3" s="151">
        <v>1</v>
      </c>
      <c r="B3" s="150">
        <v>33.629999999999995</v>
      </c>
    </row>
    <row r="4" spans="1:2" ht="19.5" customHeight="1" x14ac:dyDescent="0.2">
      <c r="A4" s="151">
        <v>2</v>
      </c>
      <c r="B4" s="150">
        <v>43.13</v>
      </c>
    </row>
    <row r="5" spans="1:2" ht="19.5" customHeight="1" x14ac:dyDescent="0.2">
      <c r="A5" s="151">
        <v>3</v>
      </c>
      <c r="B5" s="150">
        <v>48.68</v>
      </c>
    </row>
    <row r="6" spans="1:2" ht="19.5" customHeight="1" x14ac:dyDescent="0.2">
      <c r="A6" s="151">
        <v>4</v>
      </c>
      <c r="B6" s="150">
        <v>52.62</v>
      </c>
    </row>
    <row r="7" spans="1:2" ht="19.5" customHeight="1" x14ac:dyDescent="0.2">
      <c r="A7" s="151">
        <v>5</v>
      </c>
      <c r="B7" s="150">
        <v>55.679999999999993</v>
      </c>
    </row>
    <row r="8" spans="1:2" ht="19.5" customHeight="1" x14ac:dyDescent="0.2">
      <c r="A8" s="151">
        <v>6</v>
      </c>
      <c r="B8" s="150">
        <v>58.18</v>
      </c>
    </row>
    <row r="9" spans="1:2" ht="19.5" customHeight="1" x14ac:dyDescent="0.2">
      <c r="A9" s="151">
        <v>7</v>
      </c>
      <c r="B9" s="150">
        <v>60.29</v>
      </c>
    </row>
    <row r="10" spans="1:2" ht="19.5" customHeight="1" x14ac:dyDescent="0.2">
      <c r="A10" s="151">
        <v>8</v>
      </c>
      <c r="B10" s="150">
        <v>62.12</v>
      </c>
    </row>
    <row r="11" spans="1:2" ht="19.5" customHeight="1" x14ac:dyDescent="0.2">
      <c r="A11" s="151">
        <v>9</v>
      </c>
      <c r="B11" s="150">
        <v>63.73</v>
      </c>
    </row>
    <row r="12" spans="1:2" ht="19.5" customHeight="1" x14ac:dyDescent="0.2">
      <c r="A12" s="151">
        <v>10</v>
      </c>
      <c r="B12" s="150">
        <v>65.180000000000007</v>
      </c>
    </row>
    <row r="13" spans="1:2" ht="19.5" customHeight="1" x14ac:dyDescent="0.2">
      <c r="A13" s="151">
        <v>11</v>
      </c>
      <c r="B13" s="150">
        <v>66.47999999999999</v>
      </c>
    </row>
    <row r="14" spans="1:2" ht="19.5" customHeight="1" x14ac:dyDescent="0.2">
      <c r="A14" s="151">
        <v>12</v>
      </c>
      <c r="B14" s="150">
        <v>67.67</v>
      </c>
    </row>
    <row r="15" spans="1:2" ht="19.5" customHeight="1" x14ac:dyDescent="0.2">
      <c r="A15" s="151">
        <v>13</v>
      </c>
      <c r="B15" s="150">
        <v>68.77</v>
      </c>
    </row>
    <row r="16" spans="1:2" ht="19.5" customHeight="1" x14ac:dyDescent="0.2">
      <c r="A16" s="151">
        <v>14</v>
      </c>
      <c r="B16" s="150">
        <v>69.789999999999992</v>
      </c>
    </row>
    <row r="17" spans="1:2" ht="19.5" customHeight="1" thickBot="1" x14ac:dyDescent="0.25">
      <c r="A17" s="152">
        <v>15</v>
      </c>
      <c r="B17" s="153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workbookViewId="0">
      <selection activeCell="A24" sqref="A24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28" t="s">
        <v>233</v>
      </c>
    </row>
    <row r="2" spans="1:1" x14ac:dyDescent="0.2">
      <c r="A2" s="225"/>
    </row>
    <row r="3" spans="1:1" x14ac:dyDescent="0.2">
      <c r="A3" s="225" t="s">
        <v>248</v>
      </c>
    </row>
    <row r="4" spans="1:1" x14ac:dyDescent="0.2">
      <c r="A4" s="225"/>
    </row>
    <row r="5" spans="1:1" x14ac:dyDescent="0.2">
      <c r="A5" s="225"/>
    </row>
    <row r="6" spans="1:1" x14ac:dyDescent="0.2">
      <c r="A6" s="225"/>
    </row>
    <row r="7" spans="1:1" x14ac:dyDescent="0.2">
      <c r="A7" s="225"/>
    </row>
    <row r="8" spans="1:1" x14ac:dyDescent="0.2">
      <c r="A8" s="225"/>
    </row>
    <row r="9" spans="1:1" x14ac:dyDescent="0.2">
      <c r="A9" s="225"/>
    </row>
    <row r="10" spans="1:1" x14ac:dyDescent="0.2">
      <c r="A10" s="225"/>
    </row>
    <row r="11" spans="1:1" x14ac:dyDescent="0.2">
      <c r="A11" s="225"/>
    </row>
    <row r="12" spans="1:1" ht="19.5" x14ac:dyDescent="0.35">
      <c r="A12" s="226" t="s">
        <v>230</v>
      </c>
    </row>
    <row r="13" spans="1:1" ht="15" x14ac:dyDescent="0.2">
      <c r="A13" s="226" t="s">
        <v>110</v>
      </c>
    </row>
    <row r="14" spans="1:1" ht="15" x14ac:dyDescent="0.2">
      <c r="A14" s="226" t="s">
        <v>115</v>
      </c>
    </row>
    <row r="15" spans="1:1" ht="19.5" x14ac:dyDescent="0.35">
      <c r="A15" s="226" t="s">
        <v>231</v>
      </c>
    </row>
    <row r="16" spans="1:1" ht="19.5" x14ac:dyDescent="0.35">
      <c r="A16" s="226" t="s">
        <v>232</v>
      </c>
    </row>
    <row r="17" spans="1:1" ht="15.75" thickBot="1" x14ac:dyDescent="0.25">
      <c r="A17" s="227" t="s">
        <v>111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topLeftCell="A7" zoomScaleNormal="100" workbookViewId="0">
      <selection activeCell="C25" sqref="C25"/>
    </sheetView>
  </sheetViews>
  <sheetFormatPr defaultRowHeight="12.75" x14ac:dyDescent="0.2"/>
  <cols>
    <col min="1" max="1" width="58.28515625" style="249" customWidth="1"/>
    <col min="2" max="2" width="11.140625" style="249" bestFit="1" customWidth="1"/>
    <col min="3" max="3" width="11.28515625" style="249" bestFit="1" customWidth="1"/>
    <col min="4" max="16384" width="9.140625" style="249"/>
  </cols>
  <sheetData>
    <row r="1" spans="1:7" x14ac:dyDescent="0.2">
      <c r="A1" s="11" t="s">
        <v>205</v>
      </c>
    </row>
    <row r="2" spans="1:7" x14ac:dyDescent="0.2">
      <c r="A2" s="254" t="s">
        <v>255</v>
      </c>
    </row>
    <row r="3" spans="1:7" x14ac:dyDescent="0.2">
      <c r="A3" s="254" t="s">
        <v>281</v>
      </c>
    </row>
    <row r="4" spans="1:7" x14ac:dyDescent="0.2">
      <c r="A4" s="7" t="s">
        <v>279</v>
      </c>
    </row>
    <row r="5" spans="1:7" x14ac:dyDescent="0.2">
      <c r="A5" s="7"/>
    </row>
    <row r="6" spans="1:7" s="4" customFormat="1" ht="15.6" customHeight="1" x14ac:dyDescent="0.2">
      <c r="A6" s="273" t="s">
        <v>290</v>
      </c>
      <c r="B6" s="5"/>
      <c r="C6" s="5"/>
      <c r="D6" s="5"/>
      <c r="E6" s="5"/>
      <c r="F6" s="5"/>
      <c r="G6" s="6"/>
    </row>
    <row r="7" spans="1:7" s="4" customFormat="1" ht="16.5" customHeight="1" x14ac:dyDescent="0.2">
      <c r="A7" s="273" t="s">
        <v>287</v>
      </c>
      <c r="B7" s="5"/>
      <c r="C7" s="5"/>
      <c r="D7" s="6"/>
      <c r="E7" s="6"/>
      <c r="F7" s="6"/>
      <c r="G7" s="6"/>
    </row>
    <row r="8" spans="1:7" ht="13.5" thickBot="1" x14ac:dyDescent="0.25"/>
    <row r="9" spans="1:7" ht="18" x14ac:dyDescent="0.25">
      <c r="A9" s="325" t="s">
        <v>275</v>
      </c>
      <c r="B9" s="326"/>
      <c r="C9" s="327"/>
    </row>
    <row r="10" spans="1:7" ht="18" x14ac:dyDescent="0.25">
      <c r="A10" s="267"/>
      <c r="B10" s="266"/>
      <c r="C10" s="268"/>
    </row>
    <row r="11" spans="1:7" s="101" customFormat="1" ht="15" x14ac:dyDescent="0.25">
      <c r="A11" s="255" t="s">
        <v>276</v>
      </c>
      <c r="B11" s="256" t="s">
        <v>256</v>
      </c>
      <c r="C11" s="257" t="s">
        <v>145</v>
      </c>
    </row>
    <row r="12" spans="1:7" ht="14.25" x14ac:dyDescent="0.2">
      <c r="A12" s="183" t="s">
        <v>264</v>
      </c>
      <c r="B12" s="258" t="s">
        <v>257</v>
      </c>
      <c r="C12" s="290">
        <v>7067</v>
      </c>
    </row>
    <row r="13" spans="1:7" ht="14.25" x14ac:dyDescent="0.2">
      <c r="A13" s="183" t="s">
        <v>265</v>
      </c>
      <c r="B13" s="258" t="s">
        <v>262</v>
      </c>
      <c r="C13" s="259">
        <f>0.0362741*C12^0.2336249</f>
        <v>0.28765624648174759</v>
      </c>
    </row>
    <row r="14" spans="1:7" ht="14.25" x14ac:dyDescent="0.2">
      <c r="A14" s="183" t="s">
        <v>266</v>
      </c>
      <c r="B14" s="258" t="s">
        <v>263</v>
      </c>
      <c r="C14" s="260">
        <f>C12*C13/1000</f>
        <v>2.0328666938865103</v>
      </c>
    </row>
    <row r="15" spans="1:7" ht="14.25" x14ac:dyDescent="0.2">
      <c r="A15" s="183" t="s">
        <v>272</v>
      </c>
      <c r="B15" s="258" t="s">
        <v>258</v>
      </c>
      <c r="C15" s="261">
        <f>(C14*30)</f>
        <v>60.986000816595308</v>
      </c>
    </row>
    <row r="16" spans="1:7" ht="14.25" x14ac:dyDescent="0.2">
      <c r="A16" s="183" t="s">
        <v>268</v>
      </c>
      <c r="B16" s="258" t="s">
        <v>92</v>
      </c>
      <c r="C16" s="264">
        <v>6</v>
      </c>
    </row>
    <row r="17" spans="1:3" ht="14.25" x14ac:dyDescent="0.2">
      <c r="A17" s="183" t="s">
        <v>267</v>
      </c>
      <c r="B17" s="258" t="s">
        <v>263</v>
      </c>
      <c r="C17" s="260">
        <f>IFERROR(C14*7/C16,0)</f>
        <v>2.3716778095342619</v>
      </c>
    </row>
    <row r="18" spans="1:3" ht="14.25" x14ac:dyDescent="0.2">
      <c r="A18" s="183" t="s">
        <v>259</v>
      </c>
      <c r="B18" s="258" t="s">
        <v>260</v>
      </c>
      <c r="C18" s="206">
        <v>500</v>
      </c>
    </row>
    <row r="19" spans="1:3" ht="14.25" x14ac:dyDescent="0.2">
      <c r="A19" s="183" t="s">
        <v>273</v>
      </c>
      <c r="B19" s="258"/>
      <c r="C19" s="184">
        <v>2</v>
      </c>
    </row>
    <row r="20" spans="1:3" ht="14.25" x14ac:dyDescent="0.2">
      <c r="A20" s="183" t="s">
        <v>274</v>
      </c>
      <c r="B20" s="258" t="s">
        <v>261</v>
      </c>
      <c r="C20" s="184">
        <v>17</v>
      </c>
    </row>
    <row r="21" spans="1:3" ht="14.25" x14ac:dyDescent="0.2">
      <c r="A21" s="183" t="s">
        <v>269</v>
      </c>
      <c r="B21" s="258" t="s">
        <v>258</v>
      </c>
      <c r="C21" s="206">
        <f>IF(AND(C20&gt;=15,C19=1),5.8,C20/2)</f>
        <v>8.5</v>
      </c>
    </row>
    <row r="22" spans="1:3" ht="14.25" x14ac:dyDescent="0.2">
      <c r="A22" s="183" t="s">
        <v>270</v>
      </c>
      <c r="B22" s="258"/>
      <c r="C22" s="260">
        <f>IFERROR(C17/C21,0)</f>
        <v>0.27902091876873669</v>
      </c>
    </row>
    <row r="23" spans="1:3" ht="14.25" x14ac:dyDescent="0.2">
      <c r="A23" s="183" t="s">
        <v>277</v>
      </c>
      <c r="B23" s="258"/>
      <c r="C23" s="269">
        <v>1</v>
      </c>
    </row>
    <row r="24" spans="1:3" ht="15" thickBot="1" x14ac:dyDescent="0.25">
      <c r="A24" s="262" t="s">
        <v>271</v>
      </c>
      <c r="B24" s="263"/>
      <c r="C24" s="265">
        <f>IFERROR(C22/C23,0)</f>
        <v>0.27902091876873669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Mariana Fornari</cp:lastModifiedBy>
  <cp:lastPrinted>2017-08-10T17:29:27Z</cp:lastPrinted>
  <dcterms:created xsi:type="dcterms:W3CDTF">2000-12-13T10:02:50Z</dcterms:created>
  <dcterms:modified xsi:type="dcterms:W3CDTF">2025-01-15T11:40:09Z</dcterms:modified>
</cp:coreProperties>
</file>